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2" activeTab="6"/>
  </bookViews>
  <sheets>
    <sheet name="一般公共预算收入" sheetId="1" r:id="rId1"/>
    <sheet name="一般公共预算支出" sheetId="2" r:id="rId2"/>
    <sheet name="收入明细表" sheetId="3" r:id="rId3"/>
    <sheet name="支出明细表" sheetId="4" r:id="rId4"/>
    <sheet name="政府经济科目" sheetId="5" r:id="rId5"/>
    <sheet name="政府性基金收入" sheetId="6" r:id="rId6"/>
    <sheet name="政府性基金支出" sheetId="7" r:id="rId7"/>
    <sheet name="政府性基金支出明细" sheetId="12" r:id="rId8"/>
    <sheet name="社保基金收入" sheetId="8" r:id="rId9"/>
    <sheet name="社保基金支出" sheetId="9" r:id="rId10"/>
    <sheet name="国有资本经营收入" sheetId="10" r:id="rId11"/>
    <sheet name="国有资本经营支出" sheetId="11" r:id="rId12"/>
  </sheets>
  <definedNames>
    <definedName name="_xlnm._FilterDatabase" localSheetId="3" hidden="1">支出明细表!$A$7:$XEQ$1136</definedName>
    <definedName name="_xlnm._FilterDatabase" localSheetId="1" hidden="1">一般公共预算支出!$K$34:$L$34</definedName>
    <definedName name="_xlnm.Print_Titles" localSheetId="2">收入明细表!$1:$5</definedName>
    <definedName name="_xlnm.Print_Titles" localSheetId="1">一般公共预算支出!$1:$6</definedName>
    <definedName name="_xlnm.Print_Titles" localSheetId="3">支出明细表!$1:$6</definedName>
    <definedName name="_xlnm._FilterDatabase" localSheetId="4" hidden="1">政府经济科目!$A$6:$E$81</definedName>
    <definedName name="_xlnm.Print_Titles" localSheetId="4">政府经济科目!$2:$4</definedName>
    <definedName name="_xlnm.Print_Titles" localSheetId="5">政府性基金收入!$1:$6</definedName>
    <definedName name="_xlnm.Print_Titles" localSheetId="6">政府性基金支出!$1:$6</definedName>
    <definedName name="_xlnm.Print_Titles" localSheetId="7">政府性基金支出明细!$1:$6</definedName>
    <definedName name="_xlnm.Print_Titles" localSheetId="0">一般公共预算收入!$1:$6</definedName>
    <definedName name="_xlnm.Print_Titles" localSheetId="8">社保基金收入!$1:$6</definedName>
    <definedName name="_xlnm.Print_Titles" localSheetId="9">社保基金支出!$2:$6</definedName>
    <definedName name="_xlnm.Print_Area" localSheetId="0">一般公共预算收入!$A$1:$K$104</definedName>
    <definedName name="_xlnm.Print_Area" localSheetId="6">政府性基金支出!$A$1:$O$106</definedName>
  </definedNames>
  <calcPr calcId="144525"/>
</workbook>
</file>

<file path=xl/comments1.xml><?xml version="1.0" encoding="utf-8"?>
<comments xmlns="http://schemas.openxmlformats.org/spreadsheetml/2006/main">
  <authors>
    <author>Administrator</author>
  </authors>
  <commentList>
    <comment ref="I69" authorId="0">
      <text>
        <r>
          <rPr>
            <b/>
            <sz val="9"/>
            <rFont val="宋体"/>
            <charset val="134"/>
          </rPr>
          <t>Administrator:</t>
        </r>
        <r>
          <rPr>
            <sz val="9"/>
            <rFont val="宋体"/>
            <charset val="134"/>
          </rPr>
          <t xml:space="preserve">
基数95万元，乡镇卫生院工资289.62万元。
</t>
        </r>
      </text>
    </comment>
  </commentList>
</comments>
</file>

<file path=xl/sharedStrings.xml><?xml version="1.0" encoding="utf-8"?>
<sst xmlns="http://schemas.openxmlformats.org/spreadsheetml/2006/main" count="4828" uniqueCount="2119">
  <si>
    <t>附件1</t>
  </si>
  <si>
    <t>环江毛南族自治县2021年一般公共财政预算收入预算表（草案）</t>
  </si>
  <si>
    <t>单位：万元</t>
  </si>
  <si>
    <t>项目</t>
  </si>
  <si>
    <t>2020年执行情况</t>
  </si>
  <si>
    <t>2021年预算</t>
  </si>
  <si>
    <t>2020年初预算数</t>
  </si>
  <si>
    <t>2020年调整预算数</t>
  </si>
  <si>
    <t>2020年执行数</t>
  </si>
  <si>
    <t>完成调整预算%</t>
  </si>
  <si>
    <t>2019年
执行数</t>
  </si>
  <si>
    <t>比2019年增减</t>
  </si>
  <si>
    <t>建议数</t>
  </si>
  <si>
    <t>比2020年完成数增减</t>
  </si>
  <si>
    <t>金额</t>
  </si>
  <si>
    <t>%</t>
  </si>
  <si>
    <t>％</t>
  </si>
  <si>
    <t>一、税收收入</t>
  </si>
  <si>
    <t xml:space="preserve">  1、国内增值税</t>
  </si>
  <si>
    <t xml:space="preserve">  2、营业税改征增值税</t>
  </si>
  <si>
    <t xml:space="preserve">  3、营业税</t>
  </si>
  <si>
    <t xml:space="preserve">  4、企业所得税</t>
  </si>
  <si>
    <t xml:space="preserve">  5、个人所得税</t>
  </si>
  <si>
    <t xml:space="preserve">  6、资源税</t>
  </si>
  <si>
    <t xml:space="preserve">  7、城市维护建设税</t>
  </si>
  <si>
    <t xml:space="preserve">  8、房产税</t>
  </si>
  <si>
    <t xml:space="preserve">  9、印花税</t>
  </si>
  <si>
    <t xml:space="preserve">  10、城镇土地使用税</t>
  </si>
  <si>
    <t xml:space="preserve">  11、土地增值税</t>
  </si>
  <si>
    <t xml:space="preserve">  12、车船使用和牌照税</t>
  </si>
  <si>
    <t xml:space="preserve">  13、耕地占用税</t>
  </si>
  <si>
    <t xml:space="preserve">  14、契税</t>
  </si>
  <si>
    <t xml:space="preserve">  15、环境保护税</t>
  </si>
  <si>
    <t xml:space="preserve">  16、其他税收收入</t>
  </si>
  <si>
    <t>二、非税收入</t>
  </si>
  <si>
    <t xml:space="preserve">  1、专项收入</t>
  </si>
  <si>
    <t xml:space="preserve">  2、行政事业性收费收入</t>
  </si>
  <si>
    <t xml:space="preserve">  3、罚没收入</t>
  </si>
  <si>
    <t xml:space="preserve">  4、国有资本经营收入</t>
  </si>
  <si>
    <t xml:space="preserve">  5、国有资源（资产）有偿使用收入</t>
  </si>
  <si>
    <t xml:space="preserve">  6.捐赠收入</t>
  </si>
  <si>
    <t xml:space="preserve">  7、政府住房基金收入</t>
  </si>
  <si>
    <t xml:space="preserve">  8、其他收入</t>
  </si>
  <si>
    <t>一般公共财政预算收入小计</t>
  </si>
  <si>
    <t xml:space="preserve"> 转移性收入小计</t>
  </si>
  <si>
    <t xml:space="preserve">  上级补助收入</t>
  </si>
  <si>
    <t xml:space="preserve">    返还性收入</t>
  </si>
  <si>
    <t xml:space="preserve">      增值税和消费税税收返还收入 </t>
  </si>
  <si>
    <t xml:space="preserve">      营改增税收返还收入 </t>
  </si>
  <si>
    <t xml:space="preserve">      所得税基数返还收入</t>
  </si>
  <si>
    <t xml:space="preserve">      成品油价格和税费改革税收返还收入</t>
  </si>
  <si>
    <t xml:space="preserve">      其他税收返还收入</t>
  </si>
  <si>
    <t xml:space="preserve">   一般性转移支付收入</t>
  </si>
  <si>
    <t xml:space="preserve">      体制补助收入</t>
  </si>
  <si>
    <t xml:space="preserve">      均衡性转移支付收入</t>
  </si>
  <si>
    <t xml:space="preserve">       革命老区支付收入</t>
  </si>
  <si>
    <t xml:space="preserve">       民族地区转移支付收入</t>
  </si>
  <si>
    <t xml:space="preserve">       贫困地区转移支付收入</t>
  </si>
  <si>
    <t xml:space="preserve">      县级基本财力保障机制奖补资金收入</t>
  </si>
  <si>
    <t xml:space="preserve">      结算补助收入</t>
  </si>
  <si>
    <t xml:space="preserve">      资源枯竭城市转移支付补助收入</t>
  </si>
  <si>
    <t xml:space="preserve">       成品油价格和税费改革转移支付补助收入</t>
  </si>
  <si>
    <t xml:space="preserve">      基层公检法司转移支付收入</t>
  </si>
  <si>
    <t xml:space="preserve">      义务教育等转移支付收入</t>
  </si>
  <si>
    <t xml:space="preserve">      基本养老保险转移支付收入</t>
  </si>
  <si>
    <t xml:space="preserve">      新型农村合作医疗等转移支付收入</t>
  </si>
  <si>
    <t xml:space="preserve">      农村综合改革转移支付收入</t>
  </si>
  <si>
    <t xml:space="preserve">      公共安全共同财政事权转移支付收入</t>
  </si>
  <si>
    <t xml:space="preserve">      教育共同财政事权转移支付收入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</si>
  <si>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</si>
  <si>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</si>
  <si>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</si>
  <si>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</si>
  <si>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农林水共同财政事权转移支付收入</t>
  </si>
  <si>
    <t xml:space="preserve">      交通运输共同财政事权转移支付收入</t>
  </si>
  <si>
    <t xml:space="preserve">      住房保障共同财政事权转移支付收入</t>
  </si>
  <si>
    <t xml:space="preserve">      其他共同财政事权转移支付收入</t>
  </si>
  <si>
    <t xml:space="preserve">      重点生态功能区转移支付收入</t>
  </si>
  <si>
    <t xml:space="preserve">      固定数额补助收入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</si>
  <si>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</si>
  <si>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</si>
  <si>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</si>
  <si>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</si>
  <si>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</si>
  <si>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</si>
  <si>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</si>
  <si>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</si>
  <si>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文化旅游体育与传媒支出</t>
  </si>
  <si>
    <t xml:space="preserve">      社会保障和就业</t>
  </si>
  <si>
    <t xml:space="preserve">      卫生健康</t>
  </si>
  <si>
    <t xml:space="preserve">      节能环保</t>
  </si>
  <si>
    <t xml:space="preserve">      城乡社区</t>
  </si>
  <si>
    <t xml:space="preserve">      农林水</t>
  </si>
  <si>
    <t xml:space="preserve">      交通运输</t>
  </si>
  <si>
    <t xml:space="preserve">      资源勘探电力信息等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</si>
  <si>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</si>
  <si>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</si>
  <si>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</si>
  <si>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</si>
  <si>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</si>
  <si>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</si>
  <si>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</si>
  <si>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待偿债置换一般债券上年结余</t>
  </si>
  <si>
    <t xml:space="preserve">  上年结余收入</t>
  </si>
  <si>
    <t xml:space="preserve">    上年结转</t>
  </si>
  <si>
    <t xml:space="preserve">      原公共财政结转</t>
  </si>
  <si>
    <t xml:space="preserve">      基金转入公共财政结转</t>
  </si>
  <si>
    <t xml:space="preserve">    净结余</t>
  </si>
  <si>
    <t xml:space="preserve">  调入资金</t>
  </si>
  <si>
    <t xml:space="preserve">  调入预算稳定调节基金</t>
  </si>
  <si>
    <t xml:space="preserve">  债券转贷收入</t>
  </si>
  <si>
    <t xml:space="preserve">  接受其他地区援助收入</t>
  </si>
  <si>
    <t>收入总计</t>
  </si>
  <si>
    <t>附件2</t>
  </si>
  <si>
    <t>环江毛南族自治县2021年一般公共财政预算支出预算表（草案）</t>
  </si>
  <si>
    <t>年初预算</t>
  </si>
  <si>
    <t>年度指标数</t>
  </si>
  <si>
    <t>完成年度
预算％</t>
  </si>
  <si>
    <t>结转2016年使用资金</t>
  </si>
  <si>
    <t>比2019年完成数增减</t>
  </si>
  <si>
    <t>其中本级财力安排</t>
  </si>
  <si>
    <t>剔除不可比因素比2020年年初预算(本级财力安排)增减</t>
  </si>
  <si>
    <t>2020结余</t>
  </si>
  <si>
    <t>合计</t>
  </si>
  <si>
    <t>一、一般公共服务</t>
  </si>
  <si>
    <t>二、外交支出</t>
  </si>
  <si>
    <t>三、国防支出</t>
  </si>
  <si>
    <t>四、公共安全支出</t>
  </si>
  <si>
    <t>修改</t>
  </si>
  <si>
    <t>增加108+19</t>
  </si>
  <si>
    <t>五、教育支出</t>
  </si>
  <si>
    <t>六、科学技术支出</t>
  </si>
  <si>
    <t>七、文化旅游体育与传媒支出</t>
  </si>
  <si>
    <t>八、社会保障和就业支出</t>
  </si>
  <si>
    <t>九、卫生健康支出</t>
  </si>
  <si>
    <t>增136</t>
  </si>
  <si>
    <t>十、节能环保支出</t>
  </si>
  <si>
    <t>十一、城乡社区支出</t>
  </si>
  <si>
    <t>十二、农林水支出</t>
  </si>
  <si>
    <t>十三、交通运输支出</t>
  </si>
  <si>
    <t>十四、资源勘探信息等支出</t>
  </si>
  <si>
    <t>十五、商业服务业等支出</t>
  </si>
  <si>
    <t>十六、金融支出</t>
  </si>
  <si>
    <t>十七、自然资源海洋气象等支出</t>
  </si>
  <si>
    <t>十八、住房保障支出</t>
  </si>
  <si>
    <t>一十九、粮油物资储备支出</t>
  </si>
  <si>
    <t>二十、灾害防治及应急管理支出</t>
  </si>
  <si>
    <t>二十一、预备费</t>
  </si>
  <si>
    <t>二十二、其他支出</t>
  </si>
  <si>
    <t>减少136</t>
  </si>
  <si>
    <t>二十三、债务付息支出</t>
  </si>
  <si>
    <t>二十四、债务发行费支出</t>
  </si>
  <si>
    <t>一般公共财政支出合计</t>
  </si>
  <si>
    <t>转移性支出</t>
  </si>
  <si>
    <t xml:space="preserve">  上解上级支出</t>
  </si>
  <si>
    <t xml:space="preserve">      专项上解支出</t>
  </si>
  <si>
    <t xml:space="preserve"> 调出资金</t>
  </si>
  <si>
    <t xml:space="preserve"> 调出预算稳定调节基金</t>
  </si>
  <si>
    <t xml:space="preserve"> 债务还本支出</t>
  </si>
  <si>
    <t xml:space="preserve"> 援助其他地区支出</t>
  </si>
  <si>
    <t xml:space="preserve"> 年终结余</t>
  </si>
  <si>
    <t xml:space="preserve">    结转</t>
  </si>
  <si>
    <t>支出总计</t>
  </si>
  <si>
    <t>附件3</t>
  </si>
  <si>
    <t>环江毛南族自治县2021年财政收入计划明细表（草案）</t>
  </si>
  <si>
    <t xml:space="preserve">项     目 </t>
  </si>
  <si>
    <t>2020年完成数</t>
  </si>
  <si>
    <t>2021年预算数</t>
  </si>
  <si>
    <t>2021年预算数比
2020年完成数增减</t>
  </si>
  <si>
    <t>备注</t>
  </si>
  <si>
    <t xml:space="preserve">    （一）增值税</t>
  </si>
  <si>
    <t xml:space="preserve">           国有企业增值税</t>
  </si>
  <si>
    <t xml:space="preserve">           集体企业增值税</t>
  </si>
  <si>
    <t xml:space="preserve">           股份制企业增值税</t>
  </si>
  <si>
    <t xml:space="preserve">           外商投资企业增值税</t>
  </si>
  <si>
    <t xml:space="preserve">           私营企业增值税</t>
  </si>
  <si>
    <t xml:space="preserve">           其他增值税</t>
  </si>
  <si>
    <t xml:space="preserve">           增值税滞纳金、罚金</t>
  </si>
  <si>
    <t xml:space="preserve">           增值税退税</t>
  </si>
  <si>
    <t xml:space="preserve">           改征增值税</t>
  </si>
  <si>
    <t xml:space="preserve">    （二）营业税</t>
  </si>
  <si>
    <t xml:space="preserve">           一般营业税</t>
  </si>
  <si>
    <t xml:space="preserve">           营业税滞纳金、罚款收入</t>
  </si>
  <si>
    <t xml:space="preserve">    （三）企业所得税</t>
  </si>
  <si>
    <t xml:space="preserve">           国有电力工业所得税</t>
  </si>
  <si>
    <t xml:space="preserve">           其他国有企业所得税</t>
  </si>
  <si>
    <t xml:space="preserve">           集体企业所得税</t>
  </si>
  <si>
    <t xml:space="preserve">           股份制企业所得税</t>
  </si>
  <si>
    <t xml:space="preserve">           联营企业所得税</t>
  </si>
  <si>
    <t xml:space="preserve">        港澳台和外商投资企业所得税</t>
  </si>
  <si>
    <t xml:space="preserve">           私营企业所得税</t>
  </si>
  <si>
    <t xml:space="preserve">           其他企业所得税</t>
  </si>
  <si>
    <t xml:space="preserve">            企业所得税税款滞纳金、罚款、加收利息收入</t>
  </si>
  <si>
    <t xml:space="preserve">           所得税退税</t>
  </si>
  <si>
    <t xml:space="preserve">     (四)个人所得税</t>
  </si>
  <si>
    <t xml:space="preserve">    （五）资源税</t>
  </si>
  <si>
    <t xml:space="preserve">    （六）城市维护建设税</t>
  </si>
  <si>
    <t xml:space="preserve">    （七）房产税</t>
  </si>
  <si>
    <t xml:space="preserve">    （八）印花税</t>
  </si>
  <si>
    <t xml:space="preserve">    （九）城镇土地使用税</t>
  </si>
  <si>
    <t xml:space="preserve">    （十）土地增值税</t>
  </si>
  <si>
    <t xml:space="preserve">    （十一）车船税</t>
  </si>
  <si>
    <t xml:space="preserve">    （十二）耕地占用税</t>
  </si>
  <si>
    <t xml:space="preserve">    （十三）契税</t>
  </si>
  <si>
    <t xml:space="preserve">    （十四）环境保护税</t>
  </si>
  <si>
    <t xml:space="preserve">    （十五）其他税收收入</t>
  </si>
  <si>
    <t xml:space="preserve">  （一）专项收入</t>
  </si>
  <si>
    <t xml:space="preserve">        排污费收入</t>
  </si>
  <si>
    <t xml:space="preserve">        水资源费收入</t>
  </si>
  <si>
    <t xml:space="preserve">        教育费附加收入</t>
  </si>
  <si>
    <t xml:space="preserve">        探矿权、采矿权使用费及价款收入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</si>
  <si>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</si>
  <si>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</si>
  <si>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</si>
  <si>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</si>
  <si>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</si>
  <si>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育林基金收入</t>
  </si>
  <si>
    <t xml:space="preserve">        森林植被恢复费</t>
  </si>
  <si>
    <t xml:space="preserve">        水利建设专项收入</t>
  </si>
  <si>
    <t xml:space="preserve">  （二）行政性收费收入</t>
  </si>
  <si>
    <t xml:space="preserve">       公安行政事业性收费收入</t>
  </si>
  <si>
    <t xml:space="preserve">       法院行政事业性收费收入</t>
  </si>
  <si>
    <t xml:space="preserve">       司法行政事业性收费收入</t>
  </si>
  <si>
    <t xml:space="preserve">       财政行政事业性收费收入</t>
  </si>
  <si>
    <t xml:space="preserve">       人口和计划生育行政事业性收费收入</t>
  </si>
  <si>
    <t xml:space="preserve">       人防办行政事业性收费收入</t>
  </si>
  <si>
    <t xml:space="preserve">      质量监督检验检疫行政事业性收费收入</t>
  </si>
  <si>
    <t xml:space="preserve">       教育行政事业性收费收入</t>
  </si>
  <si>
    <t xml:space="preserve">       国土资源行政事业性收费收入</t>
  </si>
  <si>
    <t xml:space="preserve">       建设行政事业性收费收入</t>
  </si>
  <si>
    <t xml:space="preserve">       环保行政事业性收费收入</t>
  </si>
  <si>
    <t xml:space="preserve">       交通运输行政事业性收费收入</t>
  </si>
  <si>
    <t xml:space="preserve">       农业行政事业性收费收入</t>
  </si>
  <si>
    <t xml:space="preserve">       林业行政事业性收费收入</t>
  </si>
  <si>
    <t xml:space="preserve">       水利行政事业性收费收入</t>
  </si>
  <si>
    <t xml:space="preserve">       卫生行政事业性收费收入</t>
  </si>
  <si>
    <t xml:space="preserve">       民政行政事业性收费收入</t>
  </si>
  <si>
    <t xml:space="preserve">       人力资源和社会保障行政事业性收费收入</t>
  </si>
  <si>
    <t xml:space="preserve">       水土保持补偿费收入</t>
  </si>
  <si>
    <t xml:space="preserve">       其他行政事业性收费收入</t>
  </si>
  <si>
    <t xml:space="preserve">  （三）罚没收入</t>
  </si>
  <si>
    <t xml:space="preserve">       公安罚没收入</t>
  </si>
  <si>
    <t xml:space="preserve">       检察院罚没收入</t>
  </si>
  <si>
    <t xml:space="preserve">       法院罚没收入</t>
  </si>
  <si>
    <t xml:space="preserve">       交通罚没收入</t>
  </si>
  <si>
    <t xml:space="preserve">       卫生部门罚没收入</t>
  </si>
  <si>
    <t xml:space="preserve">       工商罚没收入</t>
  </si>
  <si>
    <t xml:space="preserve">       税务部门罚没收入</t>
  </si>
  <si>
    <t xml:space="preserve">       技术监督罚没收入</t>
  </si>
  <si>
    <t xml:space="preserve">       其他罚没收入</t>
  </si>
  <si>
    <t xml:space="preserve"> （四）国有资本经营收入</t>
  </si>
  <si>
    <t xml:space="preserve">       股利、股息收入</t>
  </si>
  <si>
    <t xml:space="preserve">       产权转让收入</t>
  </si>
  <si>
    <t xml:space="preserve">       国有企业计划亏损补贴</t>
  </si>
  <si>
    <t>（五）国有资源（资产）有偿使用收入</t>
  </si>
  <si>
    <t>（六）捐赠收入</t>
  </si>
  <si>
    <t>（七）政府住房基金收入</t>
  </si>
  <si>
    <t>（八）其他收入</t>
  </si>
  <si>
    <t>公共财政预算收入合计</t>
  </si>
  <si>
    <t>上 划 中 央 两 税 收 入</t>
  </si>
  <si>
    <t xml:space="preserve">                 上划增值税</t>
  </si>
  <si>
    <t xml:space="preserve">                 上划消费税</t>
  </si>
  <si>
    <t>上划中央所得税</t>
  </si>
  <si>
    <t>企业所得税</t>
  </si>
  <si>
    <t>个人所得税</t>
  </si>
  <si>
    <t>上划中央营业税</t>
  </si>
  <si>
    <t>上划自治区收入合计</t>
  </si>
  <si>
    <t xml:space="preserve">        一、上划自治区增值税收入</t>
  </si>
  <si>
    <t xml:space="preserve">        二、上划自治区营业税收入</t>
  </si>
  <si>
    <t xml:space="preserve">        三、上划自治区企业所得税收入</t>
  </si>
  <si>
    <t xml:space="preserve">        四、上划自治区个人所得税收入</t>
  </si>
  <si>
    <t xml:space="preserve">        五、上划环境保护税</t>
  </si>
  <si>
    <t>财 政 收 入 合 计</t>
  </si>
  <si>
    <t>按部门分：</t>
  </si>
  <si>
    <t>税务</t>
  </si>
  <si>
    <t>财政</t>
  </si>
  <si>
    <t>附件4：</t>
  </si>
  <si>
    <t>环江毛南族自治县2021年一般公共预算支出明细表（草案）</t>
  </si>
  <si>
    <t>科目编码</t>
  </si>
  <si>
    <t>科目名称</t>
  </si>
  <si>
    <t>单位名称</t>
  </si>
  <si>
    <t>基本支出</t>
  </si>
  <si>
    <t>项目支出</t>
  </si>
  <si>
    <t>小计</t>
  </si>
  <si>
    <t>工资福利支出</t>
  </si>
  <si>
    <t>商品服务支出</t>
  </si>
  <si>
    <t>对个人和家庭补助支出</t>
  </si>
  <si>
    <t>县级财力安排</t>
  </si>
  <si>
    <t>上年结转支出</t>
  </si>
  <si>
    <t>上级转移支付支出</t>
  </si>
  <si>
    <t>**</t>
  </si>
  <si>
    <t/>
  </si>
  <si>
    <t>201</t>
  </si>
  <si>
    <t>一般公共服务支出</t>
  </si>
  <si>
    <t xml:space="preserve">  20101</t>
  </si>
  <si>
    <t xml:space="preserve">  人大事务</t>
  </si>
  <si>
    <t xml:space="preserve">    2010101</t>
  </si>
  <si>
    <t xml:space="preserve">    行政运行（人大事务）</t>
  </si>
  <si>
    <t xml:space="preserve">         </t>
  </si>
  <si>
    <t>人大</t>
  </si>
  <si>
    <t>办公设备购置7.6万元；党支部组织生活经费0.36万元；考察联谊经费4万元；六委一室工作业务经费8.4万元；人大办业务经费48万元；乡（镇）新一届人大一次会议经费32万元；</t>
  </si>
  <si>
    <t>乡镇</t>
  </si>
  <si>
    <t xml:space="preserve">    2010104</t>
  </si>
  <si>
    <t xml:space="preserve">    人大会议</t>
  </si>
  <si>
    <t>县级人大换届选举工作经费45.2万元；乡级人大换届选举工作经费67.44万元；乡镇人大例会会议经费24.56万元；自治县九届人大一次会议经费42.36万元；自治县人大例会会议经费24万元；</t>
  </si>
  <si>
    <t xml:space="preserve">    2010105</t>
  </si>
  <si>
    <t xml:space="preserve">    人大立法</t>
  </si>
  <si>
    <t>立法经费4万元；立法专项经费50万元；</t>
  </si>
  <si>
    <t xml:space="preserve">    2010106</t>
  </si>
  <si>
    <t xml:space="preserve">    人大监督</t>
  </si>
  <si>
    <t>视察调研经费8万元；</t>
  </si>
  <si>
    <t xml:space="preserve">    2010107</t>
  </si>
  <si>
    <t xml:space="preserve">    人大代表履职能力提升</t>
  </si>
  <si>
    <t>代表履职培训经费12.32万元；乡镇人大代表履职活动经费75.3万元；乡镇人大代表小组活动经费14.8万元；</t>
  </si>
  <si>
    <t xml:space="preserve">    2010108</t>
  </si>
  <si>
    <t xml:space="preserve">    代表工作</t>
  </si>
  <si>
    <t>代表履职工作经费41.2万元；人大代表联络站运行经费17.58万元；</t>
  </si>
  <si>
    <t xml:space="preserve">    2010109</t>
  </si>
  <si>
    <t xml:space="preserve">    人大信访工作</t>
  </si>
  <si>
    <t>执法检查经费3.2万元；</t>
  </si>
  <si>
    <t xml:space="preserve">    2010199</t>
  </si>
  <si>
    <t xml:space="preserve">    其他人大事务支出</t>
  </si>
  <si>
    <t>人大代表议案建议办理专项经费200万元；</t>
  </si>
  <si>
    <t xml:space="preserve">  20102</t>
  </si>
  <si>
    <t xml:space="preserve">  政协事务</t>
  </si>
  <si>
    <t xml:space="preserve">    2010201</t>
  </si>
  <si>
    <t xml:space="preserve">    行政运行（政协事务）</t>
  </si>
  <si>
    <t>政协</t>
  </si>
  <si>
    <t>党支部组织生活经费0.21万元；政协机关办公费6.05万元；</t>
  </si>
  <si>
    <t xml:space="preserve">    2010203</t>
  </si>
  <si>
    <t xml:space="preserve">    机关服务（政协事务）</t>
  </si>
  <si>
    <t>政协办业务费8万元；政协机关业务费4万元；</t>
  </si>
  <si>
    <t xml:space="preserve">    2010204</t>
  </si>
  <si>
    <t xml:space="preserve">    政协会议</t>
  </si>
  <si>
    <t>政协联谊活动费1.6万元；</t>
  </si>
  <si>
    <t xml:space="preserve">    2010205</t>
  </si>
  <si>
    <t xml:space="preserve">    委员视察</t>
  </si>
  <si>
    <t>视察、考察、培训、调研34.4万元；</t>
  </si>
  <si>
    <t xml:space="preserve">    2010206</t>
  </si>
  <si>
    <t xml:space="preserve">    参政议政</t>
  </si>
  <si>
    <t>政协业务经费30.4万元；</t>
  </si>
  <si>
    <t xml:space="preserve">    2010299</t>
  </si>
  <si>
    <t xml:space="preserve">    其他政协事务支出</t>
  </si>
  <si>
    <t>政协会议费20万元；政协九届一次会议经费20万元；</t>
  </si>
  <si>
    <t xml:space="preserve">  20103</t>
  </si>
  <si>
    <t xml:space="preserve">  政府办公厅（室）及相关机构事务</t>
  </si>
  <si>
    <t xml:space="preserve">    2010301</t>
  </si>
  <si>
    <t xml:space="preserve">    行政运行（政府办公厅（室）及相关机构事务）</t>
  </si>
  <si>
    <t>政府办</t>
  </si>
  <si>
    <t>党支部组织生活经费0.26万元；环江毛南族自治县政务OA系统建设经费50.28万元；招商引资前期经费24万元；政府办公及业务经费64.8万元；政府办业务经费8万元；政府法律顾问服务工作经费30万元；政府机要信息业务经费7.2万元；政府网络业务经费16万元；政府系统业务培训经费4.08万元；</t>
  </si>
  <si>
    <t>党史办</t>
  </si>
  <si>
    <t>《环江党史大事记》（2000--2018年）史料征集、编写工作经费1.2万元；《覃展传》资料征集和编写工作经费0.72万元；承担县委、县政府“申报补划革命老区”工作经费0.72万元；承担县委、县政府《滇黔桂边游击根据地革命斗争环江课题研究》一书0.72万元；党史宣传工作经费0.72万元；党支部组织生活经费0.11万元；环江革命遗址遗迹调研1.2万元；卢寿将军故居修建前期工作经费0.8万元；业务费3.92万元；</t>
  </si>
  <si>
    <t>编制办</t>
  </si>
  <si>
    <t>办公设备购买费2.4万元；党支部组织生活活动费0.17万元；机构编制业务费3.2万元；绩效考评工作经费8万元；日常业务工作经费6.28万元；事业单位登记管理业务费1.6万元；政务和公益中文域名注册及运行费3.6万元；</t>
  </si>
  <si>
    <t>房改办</t>
  </si>
  <si>
    <t>保障性安居工程业务费1.12万元；党支部组织生活费0.03万元；房改业务费4.86万元；</t>
  </si>
  <si>
    <t>县志办</t>
  </si>
  <si>
    <t>办公费4万元；地情资料年报收集工作1.85万元；购置工具书及全国史志类资料2.8万元；</t>
  </si>
  <si>
    <t>机关事务服务中心</t>
  </si>
  <si>
    <t>大数据发展局</t>
  </si>
  <si>
    <t>办公费9.44万元；保安保洁电工劳务费8.12万元；保洁用品1.6万元；村级政务中心网络费10.8万元；大数据局电话及网络费2.32万元；党支部组织生活经费0.1万元；电费2.8万元；电脑耗材费2.4万元；电子政务外网主（备）用线路电信服务费、维护费及机房维护费114.38万元；环江县人民政府部门网站维护费4万元；水费1.6万元；县乡村三级培训费1.6万元；行政审批和“放管服”工作经费1.6万元；</t>
  </si>
  <si>
    <t>外事办</t>
  </si>
  <si>
    <t>接待办工作经费2.16万元；</t>
  </si>
  <si>
    <t>信访局</t>
  </si>
  <si>
    <t>公共资源交易中心</t>
  </si>
  <si>
    <t>思恩镇36.9万元；大才乡38.7万元；水源镇40.59万元；洛阳镇48.2万元；川山镇40.95万元；下南乡40.95万元；大安乡32.4万元；长美乡32.4万元；明伦镇41.04万元；东兴镇53.15万元；龙岩乡41.04万元；驯乐乡41.4万元；</t>
  </si>
  <si>
    <t xml:space="preserve">    2010303</t>
  </si>
  <si>
    <t xml:space="preserve">    机关服务（政府办公厅（室）及相关机构事务）</t>
  </si>
  <si>
    <t>被装购置费3.15万元；大院日常零星费用7.28万元；党支部组织生活经费0.24万元；公共机构节能经费6.2万元；公务车辆管理平台“全区一张网”建设经费21.15万元；公务车辆监控系统维护费6.3万元；水电费23.2万元；维修维护费20.5万元；县府机关大院绿化美化费5.4万元；县公务用车管理中心驾驶员出车差旅费46.21万元；县交流挂职领导基本生活用具购置费7.2万元；县行政会议中心日常用品购置费4.5万元；县政府大院日常保洁服务费16.2万元；新能源汽车租赁费9.6万元；</t>
  </si>
  <si>
    <t xml:space="preserve">    2010308</t>
  </si>
  <si>
    <t xml:space="preserve">    信访事务</t>
  </si>
  <si>
    <t>北京、南宁值班费，会议费18.5万元；党支部组织生活经费0.07万元；接访、劝返经费，会议费7.99万元；水、电费1.08万元；通讯网络费,办公费用2.46万元；宣传费0.81万元；</t>
  </si>
  <si>
    <t xml:space="preserve">    2010350</t>
  </si>
  <si>
    <t xml:space="preserve">    事业运行（政府办公厅（室）及相关机构事务）</t>
  </si>
  <si>
    <t>人武部</t>
  </si>
  <si>
    <t>党支部组织生活经费0.11万元；</t>
  </si>
  <si>
    <t xml:space="preserve">    2010399</t>
  </si>
  <si>
    <t xml:space="preserve">    其他政府办公厅（室）及相关机构事务支出</t>
  </si>
  <si>
    <t>市场服务中心</t>
  </si>
  <si>
    <t>市场开发服务中心工作经费37万元；市场开发服务中心人员经费139万元；</t>
  </si>
  <si>
    <t>工业园区</t>
  </si>
  <si>
    <t>安全生产工作经费10万元；办公设备购置费8万元；党支部组织生活经费0.5万元；服务企业综合业务工作经费7万元；干部培训费3万元；河刚留守处各项经费30万元；环境保护工作经费8万元；联系村工作经费10万元；聘请服务费用12.5万元；维稳、处纠业务工作经费4万元；园区财政业务工作经费25万元；园区党建业务工作经费3万元；园区工会业务工作补助经费3万元；园区国土规划建设业务工作经费15万元；园区征地工作组业务工作经费8万元；招商工作接待费15万元；招商前期业务工作经费12万元；招商项目考察对接工作费用12万元；综合业务工作费用15万元；</t>
  </si>
  <si>
    <t>金融办工作经费50万元；部门公益事业经费200万元。</t>
  </si>
  <si>
    <t xml:space="preserve">  20104</t>
  </si>
  <si>
    <t xml:space="preserve">  发展与改革事务</t>
  </si>
  <si>
    <t xml:space="preserve">    2010401</t>
  </si>
  <si>
    <t xml:space="preserve">    行政运行（发展与改革事务）</t>
  </si>
  <si>
    <t>发展和改革局</t>
  </si>
  <si>
    <t xml:space="preserve">    2010402</t>
  </si>
  <si>
    <t xml:space="preserve">    一般行政管理事务（发展与改革事务）</t>
  </si>
  <si>
    <t>党组织生活经费0.74万元；工程项目监理、规划设计编审、项目勘察及项目竣工验收经费21.95万元；业务工作经费31.68万元；优化营商环境工作经费4万元；</t>
  </si>
  <si>
    <t xml:space="preserve">    2010408</t>
  </si>
  <si>
    <t xml:space="preserve">    物价管理</t>
  </si>
  <si>
    <t>菜篮子工程补贴费2.4万元；价格专项检查费0.96万元；政府定价成本监审费4万元；</t>
  </si>
  <si>
    <t xml:space="preserve">  20105</t>
  </si>
  <si>
    <t xml:space="preserve">  统计信息事务</t>
  </si>
  <si>
    <t xml:space="preserve">    2010501</t>
  </si>
  <si>
    <t xml:space="preserve">    行政运行（统计信息事务）</t>
  </si>
  <si>
    <t>统计局</t>
  </si>
  <si>
    <t>党支部组织生活经费0.12万元；</t>
  </si>
  <si>
    <t xml:space="preserve">    2010505</t>
  </si>
  <si>
    <t xml:space="preserve">    专项统计业务</t>
  </si>
  <si>
    <t>正常统计业务费12.59万元；</t>
  </si>
  <si>
    <t xml:space="preserve">    2010508</t>
  </si>
  <si>
    <t xml:space="preserve">    统计抽样调查</t>
  </si>
  <si>
    <t>统计抽样调查8万元；</t>
  </si>
  <si>
    <t>统调队</t>
  </si>
  <si>
    <t>环江县城乡居民收支调查22.38万元；统计调查人员及工作经费3.5万元；县级粮食产量调查4.9万元；</t>
  </si>
  <si>
    <t xml:space="preserve">    2010599</t>
  </si>
  <si>
    <t xml:space="preserve">    其他统计信息事务支出</t>
  </si>
  <si>
    <t>“四上企业”扶持奖励12.8万元；保安费2.05万元；村级统计员补贴26.46万元；</t>
  </si>
  <si>
    <t xml:space="preserve">  20106</t>
  </si>
  <si>
    <t xml:space="preserve">  财政事务</t>
  </si>
  <si>
    <t xml:space="preserve">    2010601</t>
  </si>
  <si>
    <t xml:space="preserve">    行政运行（财政事务）</t>
  </si>
  <si>
    <t>财政局</t>
  </si>
  <si>
    <t xml:space="preserve">    2010604</t>
  </si>
  <si>
    <t xml:space="preserve">    预算改革业务</t>
  </si>
  <si>
    <t>预算改革业务费10.8万元；</t>
  </si>
  <si>
    <t xml:space="preserve">    2010605</t>
  </si>
  <si>
    <t xml:space="preserve">    财政国库业务</t>
  </si>
  <si>
    <t>财政国库业务费36万元；</t>
  </si>
  <si>
    <t xml:space="preserve">    2010608</t>
  </si>
  <si>
    <t xml:space="preserve">    财政委托业务支出</t>
  </si>
  <si>
    <t>财政委托业务费270万元；</t>
  </si>
  <si>
    <t xml:space="preserve">    2010699</t>
  </si>
  <si>
    <t xml:space="preserve">    其他财政事务支出</t>
  </si>
  <si>
    <t>办公楼（室）修缮费24万元；办公设备（家具）购置费28万元；财政监督检查业务费5.2万元；党支部组织生活经费0.55万元；国有资产管理业务费12万元；会计管理业务费25.2万元；机关日常业务费75.18万元；金财专线网络通讯费36.54万元；内控制度改革业务10.8万元；</t>
  </si>
  <si>
    <t xml:space="preserve">  20108</t>
  </si>
  <si>
    <t xml:space="preserve">  审计事务</t>
  </si>
  <si>
    <t xml:space="preserve">    2010801</t>
  </si>
  <si>
    <t xml:space="preserve">    行政运行（审计事务）</t>
  </si>
  <si>
    <t>审计局</t>
  </si>
  <si>
    <t xml:space="preserve">    2010804</t>
  </si>
  <si>
    <t xml:space="preserve">    审计业务</t>
  </si>
  <si>
    <t>审计业务费12.8万元；委托审计费200万元；</t>
  </si>
  <si>
    <t xml:space="preserve">    2010805</t>
  </si>
  <si>
    <t xml:space="preserve">    审计管理</t>
  </si>
  <si>
    <t>审计管理6.4万元；</t>
  </si>
  <si>
    <t xml:space="preserve">    2010806</t>
  </si>
  <si>
    <t xml:space="preserve">    信息化建设</t>
  </si>
  <si>
    <t>固定资产购置2.4万元；信息化建设6万元；</t>
  </si>
  <si>
    <t xml:space="preserve">    2010850</t>
  </si>
  <si>
    <t xml:space="preserve">    事业运行（审计事务）</t>
  </si>
  <si>
    <t>事业运行4.8万元；</t>
  </si>
  <si>
    <t xml:space="preserve">    2010899</t>
  </si>
  <si>
    <t xml:space="preserve">    其他审计事务支出</t>
  </si>
  <si>
    <t>党支部组织生活经费0.13万元；其他审计事务支出2.4万元；</t>
  </si>
  <si>
    <t xml:space="preserve">  20111</t>
  </si>
  <si>
    <t xml:space="preserve">  纪检监察事务</t>
  </si>
  <si>
    <t xml:space="preserve">    2011101</t>
  </si>
  <si>
    <t xml:space="preserve">    行政运行（纪检监察事务）</t>
  </si>
  <si>
    <t>纪委</t>
  </si>
  <si>
    <t>办案业务经费48万元；村务监督工作经费4万元；党支部组织生活经费0.78万元；纪委业务费8万元；廉政教育基地工作经费1.6万元；廉政宣教活动经费20.72万元；派驻机构纪检专项工作经费8万元；培训费8万元；网站维护费5万元；</t>
  </si>
  <si>
    <t xml:space="preserve">    2011106</t>
  </si>
  <si>
    <t xml:space="preserve">    巡视工作</t>
  </si>
  <si>
    <t>县委巡察办工作经费28.4万元；</t>
  </si>
  <si>
    <t xml:space="preserve">    2011199</t>
  </si>
  <si>
    <t xml:space="preserve">    其他纪检监察事务支出</t>
  </si>
  <si>
    <t>上级政法纪检监察转移支付资金28.4万元；</t>
  </si>
  <si>
    <t xml:space="preserve">  20113</t>
  </si>
  <si>
    <t xml:space="preserve">  商贸事务</t>
  </si>
  <si>
    <t xml:space="preserve">    2011301</t>
  </si>
  <si>
    <t xml:space="preserve">    行政运行（商贸事务）</t>
  </si>
  <si>
    <t>工信商务局</t>
  </si>
  <si>
    <t xml:space="preserve">    2011302</t>
  </si>
  <si>
    <t xml:space="preserve">    一般行政管理事务（商贸事务）</t>
  </si>
  <si>
    <t>党支部组织生活经费4万元；节能监察中心2.4万元；企业改制经费4万元；全县企业经济统计年报会1.2万元；商务项目业务工作经费6.4万元；铜鼓山歌艺术节1.2万元；网络安全监察管理4万元；维稳工作经费6.4万元；</t>
  </si>
  <si>
    <t xml:space="preserve">    2011308</t>
  </si>
  <si>
    <t xml:space="preserve">    招商引资</t>
  </si>
  <si>
    <t>投资促进局</t>
  </si>
  <si>
    <t>保安服务费2.5万元；党支部组织生活经费0.09万元；东盟博览会参会经费14.4万元；联系村工作经费1.6万元；项目策划包装费12万元；招商工作经费19.52万元；招商宣传册工作经费5.6万元；</t>
  </si>
  <si>
    <t xml:space="preserve">    2011399</t>
  </si>
  <si>
    <t xml:space="preserve">    其他商贸事务支出</t>
  </si>
  <si>
    <t>电子商务进农村综合示范项目工作经费1.76万元；深圳文博会36万元；</t>
  </si>
  <si>
    <t xml:space="preserve">  20123</t>
  </si>
  <si>
    <t xml:space="preserve">  民族事务</t>
  </si>
  <si>
    <t xml:space="preserve">    2012301</t>
  </si>
  <si>
    <t xml:space="preserve">    行政运行（民族事务）</t>
  </si>
  <si>
    <t>民族局</t>
  </si>
  <si>
    <t>国家扶持人口较少民族发展项目工作经费3.2万元；民族宗教工作经费11.92万元；民族宗教信息员工作补助经费17.4万元；</t>
  </si>
  <si>
    <t xml:space="preserve">    2012350</t>
  </si>
  <si>
    <t xml:space="preserve">    事业运行（民族事务）</t>
  </si>
  <si>
    <t>少数民族文化和语言文字研究中心</t>
  </si>
  <si>
    <t>民族语言文字工作经费2.7万元；</t>
  </si>
  <si>
    <t xml:space="preserve">    2012399</t>
  </si>
  <si>
    <t xml:space="preserve">    其他民族事务支出</t>
  </si>
  <si>
    <t>党支部组织生活经费0.11万元；民族技艺培训6.4万元；</t>
  </si>
  <si>
    <t xml:space="preserve">  20125</t>
  </si>
  <si>
    <t xml:space="preserve">  港澳台事务</t>
  </si>
  <si>
    <t xml:space="preserve">    2012501</t>
  </si>
  <si>
    <t xml:space="preserve">    行政运行（港澳台事务）</t>
  </si>
  <si>
    <t>统战部</t>
  </si>
  <si>
    <t>侨联经费1.44万元；</t>
  </si>
  <si>
    <t xml:space="preserve">    2012505</t>
  </si>
  <si>
    <t xml:space="preserve">    台湾事务</t>
  </si>
  <si>
    <t>台湾事务经费1.44万元；</t>
  </si>
  <si>
    <t xml:space="preserve">  20126</t>
  </si>
  <si>
    <t xml:space="preserve">  档案事务</t>
  </si>
  <si>
    <t xml:space="preserve">    2012601</t>
  </si>
  <si>
    <t xml:space="preserve">    行政运行（档案事务）</t>
  </si>
  <si>
    <t>档案馆</t>
  </si>
  <si>
    <t xml:space="preserve">    2012604</t>
  </si>
  <si>
    <t xml:space="preserve">    档案馆</t>
  </si>
  <si>
    <t>档案安全保管保护设施设备维护费3万元；档案馆电费3万元；档案馆业务建设经费10万元；档案数字化建设经费17万元；</t>
  </si>
  <si>
    <t xml:space="preserve">  20128</t>
  </si>
  <si>
    <t xml:space="preserve">  民主党派及工商联事务</t>
  </si>
  <si>
    <t xml:space="preserve">    2012801</t>
  </si>
  <si>
    <t xml:space="preserve">    行政运行（民主党派及工商联事务）</t>
  </si>
  <si>
    <t>工商联</t>
  </si>
  <si>
    <t>党支部组织生活经费0.03万元；工商联商务活动费3.94万元；五好工商联建设2.88万元；乡镇商会建设8.64万元；</t>
  </si>
  <si>
    <t xml:space="preserve">    2012804</t>
  </si>
  <si>
    <t>工商联机关参政议政调研费4.32万元；</t>
  </si>
  <si>
    <t xml:space="preserve">  20129</t>
  </si>
  <si>
    <t xml:space="preserve">  群众团体事务</t>
  </si>
  <si>
    <t xml:space="preserve">    2012901</t>
  </si>
  <si>
    <t xml:space="preserve">    行政运行（群众团体事务）</t>
  </si>
  <si>
    <t>团委</t>
  </si>
  <si>
    <t>办公经费2.1万元；西部计划志愿者住房补贴12万元；党组织活动经费0.04万元；青年就业创业培训经费0.72万元；西部计划志愿者工作经费37.6万元；预防青少年违法犯罪工作经费5万元；上级广西西部计划志愿者中央补助经费99.38万元；</t>
  </si>
  <si>
    <t>妇联</t>
  </si>
  <si>
    <t>“六一”节活动经费4.8万元；“三八”节活动经费12万元；党支部活动经费0.05万元；妇儿工委办公经费2.4万元；妇女儿童事业发展专项经费16万元；妇女儿童之家运行维护费13.6万元；两纲工作经费3.96万元；全县村（社区）妇联换届选举工作经费24万元；</t>
  </si>
  <si>
    <t>社科联</t>
  </si>
  <si>
    <t>《环江社会科学》5.2万元；</t>
  </si>
  <si>
    <t>文联</t>
  </si>
  <si>
    <t>《环江文艺》6.38万元；</t>
  </si>
  <si>
    <t xml:space="preserve">    2012999</t>
  </si>
  <si>
    <t xml:space="preserve">    其他群众团体事务支出</t>
  </si>
  <si>
    <t>全县工会经费。</t>
  </si>
  <si>
    <t>县委办</t>
  </si>
  <si>
    <t>组织部</t>
  </si>
  <si>
    <t>政法委</t>
  </si>
  <si>
    <t>公安局</t>
  </si>
  <si>
    <t>检察院</t>
  </si>
  <si>
    <t>法院</t>
  </si>
  <si>
    <t>司法局</t>
  </si>
  <si>
    <t>二轻局</t>
  </si>
  <si>
    <t>市场监督管理局</t>
  </si>
  <si>
    <t>交警队</t>
  </si>
  <si>
    <t>自然遗产保护中心</t>
  </si>
  <si>
    <t>教育局</t>
  </si>
  <si>
    <t>文广体旅局</t>
  </si>
  <si>
    <t>科协</t>
  </si>
  <si>
    <t>融媒体中心</t>
  </si>
  <si>
    <t>党校</t>
  </si>
  <si>
    <t>地震监测中心</t>
  </si>
  <si>
    <t>宣传部</t>
  </si>
  <si>
    <t>建设局</t>
  </si>
  <si>
    <t>房地产管理所</t>
  </si>
  <si>
    <t>河池市环江生态环境局</t>
  </si>
  <si>
    <t>自然资源局</t>
  </si>
  <si>
    <t>交通局</t>
  </si>
  <si>
    <t>质量安全监督站</t>
  </si>
  <si>
    <t>城市管理执法局</t>
  </si>
  <si>
    <t>应急管理局</t>
  </si>
  <si>
    <t>民政局</t>
  </si>
  <si>
    <t>卫健局</t>
  </si>
  <si>
    <t>人事局</t>
  </si>
  <si>
    <t>残疾人联合会</t>
  </si>
  <si>
    <t>退役军人事务局</t>
  </si>
  <si>
    <t>医疗保障局</t>
  </si>
  <si>
    <t>农业农村局</t>
  </si>
  <si>
    <t>林业局</t>
  </si>
  <si>
    <t>水利局</t>
  </si>
  <si>
    <t>农经指导中心</t>
  </si>
  <si>
    <t>水果产业发展中心</t>
  </si>
  <si>
    <t>农机服务中心</t>
  </si>
  <si>
    <t>糖业发展中心</t>
  </si>
  <si>
    <t>农业遥感监测站</t>
  </si>
  <si>
    <t>扶贫办</t>
  </si>
  <si>
    <t>水库和扶贫易地安置中心</t>
  </si>
  <si>
    <t>爱山林业试验场</t>
  </si>
  <si>
    <t>华山林场</t>
  </si>
  <si>
    <t>红茂管理处</t>
  </si>
  <si>
    <t>茧丝行办</t>
  </si>
  <si>
    <t>供销社联合社</t>
  </si>
  <si>
    <t>其他单位</t>
  </si>
  <si>
    <t xml:space="preserve">  20131</t>
  </si>
  <si>
    <t xml:space="preserve">  党委办公厅（室）及相关机构事务</t>
  </si>
  <si>
    <t xml:space="preserve">    2013101</t>
  </si>
  <si>
    <t xml:space="preserve">    行政运行（党委办公厅（室）及相关机构事务）</t>
  </si>
  <si>
    <t>党委办公室业务费32.4万元；党委办公通讯服务费4.32万元；党委办公网络系统维护费15.3万元；党委系统培训费7.2万元；党委信息工作经费7.2万元；党委政府中心工作经费7.2万元；党支部组织生活经费0.4万元；电子政务内网维护费10.44万元；机要保密非涉密计算机终端泄密检查系统安装经费29万元；县委办报刊费3.6万元；县委办领导学习考察经费5.76万元；县委办日常会议工作经费12.96万元；县委督查工作经费11.38万元；乡村振兴指挥部经费40万元；中国共产党环江毛南族自治第八届代表大会会议经费14.4万元；</t>
  </si>
  <si>
    <t xml:space="preserve">  20132</t>
  </si>
  <si>
    <t xml:space="preserve">  组织事务</t>
  </si>
  <si>
    <t xml:space="preserve">    2013201</t>
  </si>
  <si>
    <t xml:space="preserve">    行政运行（组织事务）</t>
  </si>
  <si>
    <t>干部人事档案库房建设及日常维护经费9.36万元；关工委工作经费15.09万元；环江毛南族自治县引进人才生活补贴120万元；基层组织建设经费4.6万元；老干部管理工作经费10.8万元；老年活动中心工作经费2.88万元；领导干部慰问工作经费0.72万元；全县公推公选领导干部工作经费2.88万元；全县公务员管理信息系统信息定期集中维护工作经费0.72万元；乡村振兴工作经费5.01万元；乡镇、县直单位领导班子和领导干部考察工作经费2.88万元；一报告两评议工作经费2.16万元；征兵工作经费1.6万元；自治县党政领导班子和领导干部经济社会发展实绩考核工作经费0.72万元；组织工作经费5.76万元；</t>
  </si>
  <si>
    <t xml:space="preserve">    2013202</t>
  </si>
  <si>
    <t xml:space="preserve">    一般行政管理事务（组织事务）</t>
  </si>
  <si>
    <t>党员干部现代远程教育工作经费13.36万元；</t>
  </si>
  <si>
    <t xml:space="preserve">    2013204</t>
  </si>
  <si>
    <t xml:space="preserve">    公务员事务</t>
  </si>
  <si>
    <t>人才工作经费2.88万元；新公务员面试及初任培训工作经费15.84万元；</t>
  </si>
  <si>
    <t xml:space="preserve">    2013299</t>
  </si>
  <si>
    <t xml:space="preserve">    其他组织事务支出</t>
  </si>
  <si>
    <t>2021年村两委换届选举工作经费498万元；985硕士选调生安家费1.4万元；大组工网运行维护费3.74万元；党支部组织生活费0.5万元；非公党工委工作经费3.24万元；全区三级组织部信息化重点工作统筹项目经费6.48万元；全县关爱党员活动经费12.8万元；乡镇党代会年会工作经费14.72万元；</t>
  </si>
  <si>
    <t xml:space="preserve">  20133</t>
  </si>
  <si>
    <t xml:space="preserve">  宣传事务</t>
  </si>
  <si>
    <t xml:space="preserve">    2013301</t>
  </si>
  <si>
    <t xml:space="preserve">    行政运行（宣传事务）</t>
  </si>
  <si>
    <t>2021社科联工作经费4.6万元；</t>
  </si>
  <si>
    <t>《民族文学》环江创作基地4.9万元；</t>
  </si>
  <si>
    <t>《家园》《看环江》稿费和耗材费5万元；党报党刊征订费用3万元；广告经费8万元；国防教育经费1万元；理论骨干及通讯员培训费用5万元；媒体合作经费195万元；培育和践行社会主义核心价值观5万元；全县未成年人思想道德建设工作经费5万元；全县宣传思想工作经费3万元；十九大、“不忘初心 牢记使命”、习近平总书记关于毛南族整族脱贫批示精神的宣传经费3万元；网络管理工作费用4.98万元；戏曲进校园、戏曲进乡村5万元；县委理论中心组学习费用1.91万元；宣传业务经费10万元；</t>
  </si>
  <si>
    <t xml:space="preserve">    2013399</t>
  </si>
  <si>
    <t xml:space="preserve">    其他宣传事务支出</t>
  </si>
  <si>
    <t>党支部组织生活经费0.11万元；县级融媒体中心建设及运行经费30万元；新时代文明实践工作经费19.8万元；</t>
  </si>
  <si>
    <t xml:space="preserve">  20134</t>
  </si>
  <si>
    <t xml:space="preserve">  统战事务</t>
  </si>
  <si>
    <t xml:space="preserve">    2013401</t>
  </si>
  <si>
    <t xml:space="preserve">    行政运行（统战事务）</t>
  </si>
  <si>
    <t>党外代表人士实践锻炼基地工作经费3.24万元；党支部组织生活经费0.13万元；统战会议费1.44万元；统战事务专项工作经费5.76万元；统战业务经费6.38万元；统战业务培训费1.44万元；</t>
  </si>
  <si>
    <t xml:space="preserve">    2013404</t>
  </si>
  <si>
    <t xml:space="preserve">    宗教事务</t>
  </si>
  <si>
    <t>民族宗教经费0.72万元；</t>
  </si>
  <si>
    <t xml:space="preserve">    2013405</t>
  </si>
  <si>
    <t xml:space="preserve">    华侨事务</t>
  </si>
  <si>
    <t>侨办经费1.44万元；</t>
  </si>
  <si>
    <t xml:space="preserve">    2013499</t>
  </si>
  <si>
    <t xml:space="preserve">    其他统战事务支出</t>
  </si>
  <si>
    <t>非公办经费3.96万元；</t>
  </si>
  <si>
    <t xml:space="preserve">  20135</t>
  </si>
  <si>
    <t xml:space="preserve">  对外联络事务</t>
  </si>
  <si>
    <t xml:space="preserve">    2013501</t>
  </si>
  <si>
    <t xml:space="preserve">    行政运行（对外联络事务）</t>
  </si>
  <si>
    <t>外事办工作经费5.84万元；</t>
  </si>
  <si>
    <t xml:space="preserve">  20136</t>
  </si>
  <si>
    <t xml:space="preserve">  其他共产党事务支出</t>
  </si>
  <si>
    <t xml:space="preserve">    2013601</t>
  </si>
  <si>
    <t xml:space="preserve">    行政运行（其他共产党事务支出）</t>
  </si>
  <si>
    <t>党支部组织生活经费0.12万元；法学会经费3.2万元；法制宣传经费7.15万元；广西综治信息平台运维费用9.16万元；全县见义勇为工作经费0.2万元；县、乡、村综治视联网线路服务费29.46万元；县、乡、村综治中心建设经费4万元；政法业务费8万元；驻京驻邕劝返维稳工作经费5.76万元；综治、维稳和反邪教经费21.6万元；</t>
  </si>
  <si>
    <t xml:space="preserve">  20138</t>
  </si>
  <si>
    <t xml:space="preserve">  市场监督管理事务</t>
  </si>
  <si>
    <t xml:space="preserve">    2013801</t>
  </si>
  <si>
    <t xml:space="preserve">    行政运行（市场监督管理事务）</t>
  </si>
  <si>
    <t xml:space="preserve">    2013802</t>
  </si>
  <si>
    <t xml:space="preserve">    一般行政管理事务（市场监督管理事务）</t>
  </si>
  <si>
    <t>党支部组织生活经费0.5万元；一般行政管理事务经费24万元；</t>
  </si>
  <si>
    <t xml:space="preserve">    2013804</t>
  </si>
  <si>
    <t xml:space="preserve">    市场主体管理</t>
  </si>
  <si>
    <t>市场主体管理经费7.2万元；</t>
  </si>
  <si>
    <t xml:space="preserve">    2013805</t>
  </si>
  <si>
    <t xml:space="preserve">    市场秩序执法</t>
  </si>
  <si>
    <t>市场秩序执法经费27.72万元；</t>
  </si>
  <si>
    <t xml:space="preserve">    2013808</t>
  </si>
  <si>
    <t>信息化建设经费7.2万元；</t>
  </si>
  <si>
    <t xml:space="preserve">    2013810</t>
  </si>
  <si>
    <t xml:space="preserve">    质量基础</t>
  </si>
  <si>
    <t>质量基础经费19.2万元；</t>
  </si>
  <si>
    <t xml:space="preserve">    2013812</t>
  </si>
  <si>
    <t xml:space="preserve">    药品事务</t>
  </si>
  <si>
    <t>药品事务经费3.6万元；</t>
  </si>
  <si>
    <t xml:space="preserve">    2013813</t>
  </si>
  <si>
    <t xml:space="preserve">    医疗器械事务</t>
  </si>
  <si>
    <t>医疗器械事务经费3.6万元；</t>
  </si>
  <si>
    <t xml:space="preserve">    2013815</t>
  </si>
  <si>
    <t xml:space="preserve">    质量安全监管</t>
  </si>
  <si>
    <t>质量安全监管经费3.6万元；</t>
  </si>
  <si>
    <t xml:space="preserve">    2013816</t>
  </si>
  <si>
    <t xml:space="preserve">    食品安全监管</t>
  </si>
  <si>
    <t>食品安全监管经费18万元；</t>
  </si>
  <si>
    <t xml:space="preserve">  20199</t>
  </si>
  <si>
    <t xml:space="preserve">  其他一般公共服务支出</t>
  </si>
  <si>
    <t xml:space="preserve">    2019999</t>
  </si>
  <si>
    <t xml:space="preserve">    其他一般公共服务支出</t>
  </si>
  <si>
    <t>四家班子公务接待费180万元；</t>
  </si>
  <si>
    <t>203</t>
  </si>
  <si>
    <t>国防支出</t>
  </si>
  <si>
    <t xml:space="preserve">  20306</t>
  </si>
  <si>
    <t xml:space="preserve">  国防动员</t>
  </si>
  <si>
    <t xml:space="preserve">    2030601</t>
  </si>
  <si>
    <t xml:space="preserve">    兵役征集</t>
  </si>
  <si>
    <t>征兵工作经费9万元；</t>
  </si>
  <si>
    <t xml:space="preserve">    2030603</t>
  </si>
  <si>
    <t xml:space="preserve">    人民防空</t>
  </si>
  <si>
    <t>人防“准军事化”建设项目3万元；人防行政执法工作经费8万元；人防宣传教育项目经费4万元；人防组织指挥项目经费2万元；人口疏散地域建设项目5万元；</t>
  </si>
  <si>
    <t xml:space="preserve">    2030607</t>
  </si>
  <si>
    <t xml:space="preserve">    民兵</t>
  </si>
  <si>
    <t>2021年议军会增加经费100万元；常驻民兵应急分队经费51.84万元；服装费3.6万元；民兵武器仓库业务经费5.4万元；民兵训练费8.1万元；民兵整组经费1.8万元；</t>
  </si>
  <si>
    <t xml:space="preserve">    2030699</t>
  </si>
  <si>
    <t xml:space="preserve">    其他国防动员支出</t>
  </si>
  <si>
    <t>国动委办公经费2.6万元；</t>
  </si>
  <si>
    <t xml:space="preserve">  20399</t>
  </si>
  <si>
    <t xml:space="preserve">  其他国防支出</t>
  </si>
  <si>
    <t xml:space="preserve">    2039999</t>
  </si>
  <si>
    <t xml:space="preserve">    其他国防支出</t>
  </si>
  <si>
    <t>日常业务费13.5万元；网络安全管理经费4.5万元；</t>
  </si>
  <si>
    <t>204</t>
  </si>
  <si>
    <t>公共安全支出</t>
  </si>
  <si>
    <t xml:space="preserve">  20401</t>
  </si>
  <si>
    <t xml:space="preserve">  武装警察部队</t>
  </si>
  <si>
    <t xml:space="preserve">    2040101</t>
  </si>
  <si>
    <t xml:space="preserve">    武装警察部队</t>
  </si>
  <si>
    <t>武警中队</t>
  </si>
  <si>
    <t>地方保障经费25.89万元；</t>
  </si>
  <si>
    <t xml:space="preserve">  20402</t>
  </si>
  <si>
    <t xml:space="preserve">  公安</t>
  </si>
  <si>
    <t xml:space="preserve">    2040201</t>
  </si>
  <si>
    <t xml:space="preserve">    行政运行（公安）</t>
  </si>
  <si>
    <t>DNA检测专项经费15.3万元；城西视频监控租赁费6.48万元；打拐专项经费7.2万元；党支部组织生活经费2.48万元；反恐专项经费4.5万元；防范打击和处理邪教犯罪专项经费8.1万元；公安信息三级网及数据电路租用费用9.95万元；公安业务经费16.2万元；国内安全保卫专项经费8.1万元；教育训练专项经费6.3万元；金盾工程网络维护费4.5万元；禁毒专项经费13.5万元；警犬训养经费4.5万元；拘留所管理经费3.6万元；民警人身伤害保险及体检经费8.75万元；特警大队办公经费20.7万元；天网一、二、三期租赁费218.67万元；网络侦控专项经费6.3万元；小天网租赁费11.12万元；刑事侦查业务费49.5万元；巡防大队业务经费20.7万元；一村一警务助理工作专项经费78万元；应急物资费用4.5万元；治安管理专项经费8.1万元；</t>
  </si>
  <si>
    <t xml:space="preserve">    2040220</t>
  </si>
  <si>
    <t xml:space="preserve">    执法办案</t>
  </si>
  <si>
    <t>上级政法纪检监察支付资金922万元；</t>
  </si>
  <si>
    <t xml:space="preserve">    2040250</t>
  </si>
  <si>
    <t xml:space="preserve">    事业运行（公安）</t>
  </si>
  <si>
    <t>各乡镇社区戒毒、社区康复工作经费25.92万元；</t>
  </si>
  <si>
    <t xml:space="preserve">    2040299</t>
  </si>
  <si>
    <t xml:space="preserve">    其他公安支出</t>
  </si>
  <si>
    <t>县禁毒办工作经费27.36万元；</t>
  </si>
  <si>
    <t>车管业务经费1.8万元；创建平安畅通县区经费31.5万元；党支部组织生活经费0.17万元；电子警察项目专线电路租赁费10万元；电子警察抓拍维护费6万元；公安交通管理电子警察设备购置经费85万元；公务用车购置费40万元；交安宣传费4.5万元；交通事故处理经费13.75万元；考试场租赁费10万元；科技强警经费14.4万元；全县交安联系会办公经费18.88万元；违法车辆停车费5.4万元；协警员服装装备及办公办案经费8.6万元；</t>
  </si>
  <si>
    <t xml:space="preserve">  20404</t>
  </si>
  <si>
    <t xml:space="preserve">  检察</t>
  </si>
  <si>
    <t xml:space="preserve">    2040401</t>
  </si>
  <si>
    <t xml:space="preserve">    行政运行（检察）</t>
  </si>
  <si>
    <t>干警人身意外保险0.48万元；</t>
  </si>
  <si>
    <t xml:space="preserve">    2040402</t>
  </si>
  <si>
    <t xml:space="preserve">    一般行政管理事务（检察）</t>
  </si>
  <si>
    <t>报刊费5万元；党支部组织活动经费0.34万元；</t>
  </si>
  <si>
    <t xml:space="preserve">    2040410</t>
  </si>
  <si>
    <t xml:space="preserve">    检察监督</t>
  </si>
  <si>
    <t>公诉业务经费8万元；控申业务经费8万元；民事行政检察业务经费6万元；侦查监督业务经费8万元；执行监督业务经费7万元；上级政法资金210万元；</t>
  </si>
  <si>
    <t xml:space="preserve">    2040499</t>
  </si>
  <si>
    <t xml:space="preserve">    其他检察支出</t>
  </si>
  <si>
    <t>派驻纪检业务经费5万元；其他检察业务经费10万元；乡镇检察室业务经费6.88万元；</t>
  </si>
  <si>
    <t xml:space="preserve">  20405</t>
  </si>
  <si>
    <t xml:space="preserve">  法院</t>
  </si>
  <si>
    <t xml:space="preserve">    2040501</t>
  </si>
  <si>
    <t xml:space="preserve">    行政运行（法院）</t>
  </si>
  <si>
    <t>党支部组织生活会经费及退休干部党组书记工作补贴1.27万元；网上办案经费6.2万元；</t>
  </si>
  <si>
    <t xml:space="preserve">    2040504</t>
  </si>
  <si>
    <t xml:space="preserve">    案件审判</t>
  </si>
  <si>
    <t>案件审判经费12.5万元；基层法庭业务经费7.2万元；维护社会稳定经费3.5万元；上级政法转移支付经费595万元；</t>
  </si>
  <si>
    <t xml:space="preserve">    2040505</t>
  </si>
  <si>
    <t xml:space="preserve">    案件执行</t>
  </si>
  <si>
    <t>案件执行经费13.2万元；</t>
  </si>
  <si>
    <t xml:space="preserve">    2040599</t>
  </si>
  <si>
    <t xml:space="preserve">    其他法院支出</t>
  </si>
  <si>
    <t>保密工作经费1.8万元；创建“无诉社区、村屯”经费2.7万元；档案管理经费1.8万元；多元化矛盾纠纷解决机制4.5万元；纪委检查组办公室经费1.8万元；人民陪审员经费6.3万元；驻村法官经费4.5万元；</t>
  </si>
  <si>
    <t xml:space="preserve">  20406</t>
  </si>
  <si>
    <t xml:space="preserve">  司法</t>
  </si>
  <si>
    <t xml:space="preserve">    2040601</t>
  </si>
  <si>
    <t xml:space="preserve">    行政运行（司法）</t>
  </si>
  <si>
    <t>公益性岗位工资15.4万元；公证处经费开支10.71万元；在职人员人身意外保险0.41万元；</t>
  </si>
  <si>
    <t xml:space="preserve">    2040602</t>
  </si>
  <si>
    <t xml:space="preserve">    一般行政管理事务（司法）</t>
  </si>
  <si>
    <t>人民调解员办案补贴经费16万元；</t>
  </si>
  <si>
    <t xml:space="preserve">    2040604</t>
  </si>
  <si>
    <t xml:space="preserve">    基层司法业务</t>
  </si>
  <si>
    <t>社区矫正人民调解安置帮教工作26.07万元；一村一法侓顾问工作经费24万元；上级政法经费153.7万元；</t>
  </si>
  <si>
    <t xml:space="preserve">    2040605</t>
  </si>
  <si>
    <t xml:space="preserve">    普法宣传</t>
  </si>
  <si>
    <t>“七五”规划法治宣传教育经费12.06万元；普法依法治理工作业务支出9.4万元；</t>
  </si>
  <si>
    <t xml:space="preserve">    2040607</t>
  </si>
  <si>
    <t xml:space="preserve">    公共法律服务</t>
  </si>
  <si>
    <t>法侓援助配套业务补助经费支出1万元；上级转移支付资金10万元；</t>
  </si>
  <si>
    <t xml:space="preserve">    2040699</t>
  </si>
  <si>
    <t xml:space="preserve">    其他司法支出</t>
  </si>
  <si>
    <t>司法救助经费9万元；</t>
  </si>
  <si>
    <t>党支部组织生活经费0.49万元；上级政法转移支付资金15万元；</t>
  </si>
  <si>
    <t>上级专款结余支出15万元；上级专款结余支出5.31万元；</t>
  </si>
  <si>
    <t xml:space="preserve">  20407</t>
  </si>
  <si>
    <t xml:space="preserve">  监狱</t>
  </si>
  <si>
    <t xml:space="preserve">    2040704</t>
  </si>
  <si>
    <t xml:space="preserve">    犯人生活</t>
  </si>
  <si>
    <t>看守所</t>
  </si>
  <si>
    <t>人犯给养经费150万元；</t>
  </si>
  <si>
    <t>205</t>
  </si>
  <si>
    <t>教育支出</t>
  </si>
  <si>
    <t xml:space="preserve">  20501</t>
  </si>
  <si>
    <t xml:space="preserve">  教育管理事务</t>
  </si>
  <si>
    <t xml:space="preserve">    2050101</t>
  </si>
  <si>
    <t xml:space="preserve">    行政运行（教育管理事务）</t>
  </si>
  <si>
    <t xml:space="preserve">    2050199</t>
  </si>
  <si>
    <t xml:space="preserve">    其他教育管理事务支出</t>
  </si>
  <si>
    <t>安全办业务经费3.2万元；办公设备购置3.67万元；成职教股业务经费2万元；大学新生困难助学金8万元；党委办业务经费10.6万元；党政办业务经费20.42万元；德育室业务经费1.9万元；电教站业务经费4万元；督导室业务经费3万元；规划建设股业务经费4.2万元；基础教育股业务经费2万元；绩效办工作经费1.1万元；计财股业务经费3.6万元；教研室业务经费4万元；教育经费代管中心业务经费4万元；人事股业务经费3万元；学前教育中心业务费5.81万元；语委办工作经费2.5万元；招生办业务经费2万元；资助中心业务经费3万元；</t>
  </si>
  <si>
    <t xml:space="preserve">  20502</t>
  </si>
  <si>
    <t xml:space="preserve">  普通教育</t>
  </si>
  <si>
    <t xml:space="preserve">    2050201</t>
  </si>
  <si>
    <t xml:space="preserve">    学前教育</t>
  </si>
  <si>
    <t>公办幼儿园生均公用经费补助245.91万元；县一幼工作经费0.54万元；全县学前教育保教费2057万元；上级支持学前教育发展专项资金1084.88万元；上级支持学前教育发展资金743.29万元；</t>
  </si>
  <si>
    <t xml:space="preserve">    2050202</t>
  </si>
  <si>
    <t xml:space="preserve">    小学教育</t>
  </si>
  <si>
    <t>长美中心校2021预算经费7万元；川山中心校2021年预算经费7万元；环江五小工作经费1.2万元；龙岩中心校2021年预算经费14万元；洛阳中心校2021年预算经费8万元；明伦中心校2021年预算经费2万元；贫困寄宿生县级补助（小学）22.94万元；水源中心校2021年预算经费3.5万元；思恩中心校学校工作经费4万元；下南中心校2021年预算经费3.36万元；学校工作经费（非税支出）0.72万元；驯乐中心校2021年预算经费18.69万元；</t>
  </si>
  <si>
    <t xml:space="preserve">    2050203</t>
  </si>
  <si>
    <t xml:space="preserve">    初中教育</t>
  </si>
  <si>
    <t>川山中学2021年预算经费20万元；大安中学2021年预算经费12万元；东兴中学2021年预算经费1.56万元；环江二中2021年预算经费32万元；环江三中2021年预算经费40万元；环江四中2021年预算经费31万元；环江一中2021年预算经费72万元；洛阳中学2021年预算经费28万元；明伦中学2021年预算经费6万元；贫困寄宿生县级补助（初中）82.4万元；水源中学2021年预算经费53.05万元；下南中学2021年预算经费14.3万元；驯乐中学2021年预算经费14万元；</t>
  </si>
  <si>
    <t xml:space="preserve">    2050204</t>
  </si>
  <si>
    <t xml:space="preserve">    高中教育</t>
  </si>
  <si>
    <t>公办普通高中生均公用经费（原免四费补助经费）410.4万元；环江二高2021年预算经费90万元；环江高中2021年预算经费93.79万元；环江高中赴中央民大培训经费10万元；普通高中教育国家助学金县级配套资金32.84万元；上级就读普通高中的库区移民子女和在国家扶贫开发工作重点县就读的普通高中学生免学费补助资金32.57万元；上级普通高中国家助学金和免学杂费补助资金73.33万元；上级中央改善普通高中办学条件补助资金850万元；</t>
  </si>
  <si>
    <t xml:space="preserve">    2050205</t>
  </si>
  <si>
    <t xml:space="preserve">    高等教育</t>
  </si>
  <si>
    <t>上级高等学校毕业生学费和国家助学贷款补偿学生资助资金111.33万元；上级高校国家奖助学金资助经费24.5万元；上级自治区家庭经济困难大学新生入学补助经费22.4万元；</t>
  </si>
  <si>
    <t xml:space="preserve">    2050299</t>
  </si>
  <si>
    <t xml:space="preserve">    其他普通教育支出</t>
  </si>
  <si>
    <t>公用经费县级配套资金185万元；教师节表彰经费50万元；六一儿童节活动经费2万元；民族班及壮文经费55.5万元；青少年活动中心业务经费6万元；全县教育工作会议经费5万元；全县校舍保险经费25万元；全县中小学、幼儿园安全专项整治督查经费3万元；数字教育资源共建共享平台和课堂教学录播系统建设资金80万元；中小学校舍维修30万元；上级“三区”人才计划教师专项资金110万元；上级城乡义务教育补助经费中央和自治区资金583.04万元；上级城乡义务教育补助经费中央直达资金1148.11万元；上级基础教育学生资助补助中央和自治区资金3187.72万元；上级农村义务教育校舍安全保障长效机制补助资金680万元；上级农村义务教育学生营养餐改善计划补助资金1642.8万元；上级农村义务教育学校特岗教师工资性补助中央资金733.05万元；上级乡村教师生活补助中央和自治区资金434.81万元；上级乡村教师招聘财政奖补市本级配套资金65.5万元；上级乡村教师招聘奖补资金65.5万元；上级校园足球专项经费10万元；上级义务教育薄弱环节改善与能力提升补助资金910万元；上级义务教育公用经费预算3245.54万元；上级义务教育家庭经济困难学生生活补助中央资金253.82万元；上级自治区第二批乡村教师生活补助计划资金494万元；上级自治区教育发展经费15万元；</t>
  </si>
  <si>
    <t xml:space="preserve">  20503</t>
  </si>
  <si>
    <t xml:space="preserve">  职业教育</t>
  </si>
  <si>
    <t xml:space="preserve">    2050302</t>
  </si>
  <si>
    <t xml:space="preserve">    中等职业教育</t>
  </si>
  <si>
    <t>中等职业教育免学费补助和国家助学金县级配套资金7.34万元；中等职业学校生均公用经费26.8万元；上级中等职业教育国家奖学金、助学金和免学费1.91万元；上级中等职业教育国家助学金和免学费补助资金138.37万元；上级自治区人民政府中等职业教育奖学金2万元；</t>
  </si>
  <si>
    <t xml:space="preserve">  20507</t>
  </si>
  <si>
    <t xml:space="preserve">  特殊教育</t>
  </si>
  <si>
    <t xml:space="preserve">    2050701</t>
  </si>
  <si>
    <t xml:space="preserve">    特殊学校教育</t>
  </si>
  <si>
    <t xml:space="preserve">  20508</t>
  </si>
  <si>
    <t xml:space="preserve">  进修及培训</t>
  </si>
  <si>
    <t xml:space="preserve">    2050802</t>
  </si>
  <si>
    <t xml:space="preserve">    干部教育</t>
  </si>
  <si>
    <t>党校常规管理业务经费8万元；党校校园东面铺草砖5万元；党员组织经费0.1万元；干部培训水电费1.5万元；社会主义学校经费1.5万元；行政学校管理经费2万元；学校校园维修费1.5万元；</t>
  </si>
  <si>
    <t>干训费100万元；</t>
  </si>
  <si>
    <t xml:space="preserve">  20509</t>
  </si>
  <si>
    <t xml:space="preserve">  教育费附加安排的支出</t>
  </si>
  <si>
    <t xml:space="preserve">    2050999</t>
  </si>
  <si>
    <t xml:space="preserve">    其他教育费附加安排的支出</t>
  </si>
  <si>
    <t>全县校园安全保卫经费575.54万元；</t>
  </si>
  <si>
    <t>206</t>
  </si>
  <si>
    <t>科学技术支出</t>
  </si>
  <si>
    <t xml:space="preserve">  20604</t>
  </si>
  <si>
    <t xml:space="preserve">  技术研究与开发</t>
  </si>
  <si>
    <t xml:space="preserve">    2060499</t>
  </si>
  <si>
    <t xml:space="preserve">    其他技术研究与开发支出</t>
  </si>
  <si>
    <t>科技三项费用400万元；</t>
  </si>
  <si>
    <t xml:space="preserve">  20607</t>
  </si>
  <si>
    <t xml:space="preserve">  科学技术普及</t>
  </si>
  <si>
    <t xml:space="preserve">    2060701</t>
  </si>
  <si>
    <t xml:space="preserve">    机构运行</t>
  </si>
  <si>
    <t xml:space="preserve">    2060702</t>
  </si>
  <si>
    <t xml:space="preserve">    科普活动</t>
  </si>
  <si>
    <t>科普活动11.45万元；</t>
  </si>
  <si>
    <t xml:space="preserve">    2060799</t>
  </si>
  <si>
    <t xml:space="preserve">    其他科学技术普及支出</t>
  </si>
  <si>
    <t>党组织活动经费0.06万元；其他科学技术普及支出4.4万元；</t>
  </si>
  <si>
    <t>207</t>
  </si>
  <si>
    <t>文化旅游体育与传媒支出</t>
  </si>
  <si>
    <t xml:space="preserve">  20701</t>
  </si>
  <si>
    <t xml:space="preserve">  文化和旅游</t>
  </si>
  <si>
    <t xml:space="preserve">    2070101</t>
  </si>
  <si>
    <t xml:space="preserve">    行政运行（文化和旅游）</t>
  </si>
  <si>
    <t>党支部组织生活经费0.46万元；业务费30万元；</t>
  </si>
  <si>
    <t xml:space="preserve">    2070102</t>
  </si>
  <si>
    <t xml:space="preserve">    一般行政管理事务（文化和旅游）</t>
  </si>
  <si>
    <t>日常业务工作经费10.08万元；</t>
  </si>
  <si>
    <t>旅游发展基金230万元；</t>
  </si>
  <si>
    <t xml:space="preserve">    2070104</t>
  </si>
  <si>
    <t xml:space="preserve">    图书馆</t>
  </si>
  <si>
    <t>保安经费4.32万元；电梯维护费0.6万元；电子阅览室经费2万元；免费开放县级配套资金0.8万元；图书购置费3.51万元；专项业务费1.8万元；</t>
  </si>
  <si>
    <t xml:space="preserve">    2070107</t>
  </si>
  <si>
    <t xml:space="preserve">    艺术表演团体</t>
  </si>
  <si>
    <t>非物质文化遗产保护经费3万元；演出经费5万元；</t>
  </si>
  <si>
    <t xml:space="preserve">    2070108</t>
  </si>
  <si>
    <t xml:space="preserve">    文化活动</t>
  </si>
  <si>
    <t>文化活动经费15万元；</t>
  </si>
  <si>
    <t xml:space="preserve">    2070109</t>
  </si>
  <si>
    <t xml:space="preserve">    群众文化</t>
  </si>
  <si>
    <t>保安经费4.91万元；环江壮族三月三活动经费8万元；免费开放经费0.8万元；演出服装经费6万元；业务经费8万元；上级村级公共服务中心建设专项补助资金100万元；</t>
  </si>
  <si>
    <t xml:space="preserve">    2070110</t>
  </si>
  <si>
    <t xml:space="preserve">    文化和旅游交流与合作</t>
  </si>
  <si>
    <t>深圳国际文化产业博览会经费25万元；</t>
  </si>
  <si>
    <t xml:space="preserve">    2070111</t>
  </si>
  <si>
    <t xml:space="preserve">    文化创作与保护</t>
  </si>
  <si>
    <t>上级非物质文化遗产保护专项资金34万元；</t>
  </si>
  <si>
    <t xml:space="preserve">    2070112</t>
  </si>
  <si>
    <t xml:space="preserve">    文化和旅游市场管理</t>
  </si>
  <si>
    <t>文化市场管理费2.5万元；</t>
  </si>
  <si>
    <t xml:space="preserve">    2070199</t>
  </si>
  <si>
    <t xml:space="preserve">    其他文化和旅游支出</t>
  </si>
  <si>
    <t>其他文化支出费5万元；文化站免费开放县级配套经费2.4万元；上级美术馆 公共图书馆 文化馆（站）免费开放专项资金98万元；上级中央补助地方公共文化服务体系264.3万元；上级中央补助地方公共文化服务体系建设资金预算（县级融媒体中心建设项目）45万元；上级中央文化人才专项经费12万元；上级中央支持地方公共文化服务体系建设补助资金37万元；上级自治区补助市县文化项目资金4.5万元；上级自治区旅游发展专项资金350万元；</t>
  </si>
  <si>
    <t xml:space="preserve">  20702</t>
  </si>
  <si>
    <t xml:space="preserve">  文物</t>
  </si>
  <si>
    <t xml:space="preserve">    2070204</t>
  </si>
  <si>
    <t xml:space="preserve">    文物保护</t>
  </si>
  <si>
    <t>凤腾山古墓群巡查员经费4.36万元；文物保护经费4万元；上级国家文物保护专项资金200万元；上级自治区补助市县文化文物项目资金10万元；</t>
  </si>
  <si>
    <t xml:space="preserve">    2070205</t>
  </si>
  <si>
    <t xml:space="preserve">    博物馆</t>
  </si>
  <si>
    <t>博物馆保安经费9.6万元；</t>
  </si>
  <si>
    <t xml:space="preserve">    2070299</t>
  </si>
  <si>
    <t xml:space="preserve">    其他文物支出</t>
  </si>
  <si>
    <t>文物调查征集经费4.89万元；</t>
  </si>
  <si>
    <t xml:space="preserve">  20703</t>
  </si>
  <si>
    <t xml:space="preserve">  体育</t>
  </si>
  <si>
    <t xml:space="preserve">    2070305</t>
  </si>
  <si>
    <t xml:space="preserve">    体育竞赛</t>
  </si>
  <si>
    <t>体育竞赛经费15万元；</t>
  </si>
  <si>
    <t xml:space="preserve">    2070307</t>
  </si>
  <si>
    <t xml:space="preserve">    体育场馆</t>
  </si>
  <si>
    <t>上级公共体育场馆向社会免费或低收费开放补助资金80万元；</t>
  </si>
  <si>
    <t xml:space="preserve">    2070308</t>
  </si>
  <si>
    <t xml:space="preserve">    群众体育</t>
  </si>
  <si>
    <t>群众体育经费27万元；</t>
  </si>
  <si>
    <t xml:space="preserve">    2070309</t>
  </si>
  <si>
    <t xml:space="preserve">    体育交流与合作</t>
  </si>
  <si>
    <t>龙舟大赛经费50万元；</t>
  </si>
  <si>
    <t xml:space="preserve">  20706</t>
  </si>
  <si>
    <t xml:space="preserve">  新闻出版电影</t>
  </si>
  <si>
    <t xml:space="preserve">    2070601</t>
  </si>
  <si>
    <t xml:space="preserve">    行政运行（新闻出版电影）</t>
  </si>
  <si>
    <t>“扫黄打非”、新闻出版经费5万元；</t>
  </si>
  <si>
    <t xml:space="preserve">    2070607</t>
  </si>
  <si>
    <t xml:space="preserve">    电影</t>
  </si>
  <si>
    <t>农村电影公益放映配套补助资金7万元；</t>
  </si>
  <si>
    <t xml:space="preserve">  20707</t>
  </si>
  <si>
    <t xml:space="preserve">  国家电影事业发展专项资金安排的支出</t>
  </si>
  <si>
    <t xml:space="preserve">    2070799</t>
  </si>
  <si>
    <t xml:space="preserve">    其他国家电影事业发展专项资金支出</t>
  </si>
  <si>
    <t>上级电影事业专项资金3万元；上级中央补助地方国家电影事业发展专项资金17万元；</t>
  </si>
  <si>
    <t xml:space="preserve">  20708</t>
  </si>
  <si>
    <t xml:space="preserve">  广播电视</t>
  </si>
  <si>
    <t xml:space="preserve">    2070808</t>
  </si>
  <si>
    <t xml:space="preserve">    广播电视事务</t>
  </si>
  <si>
    <t>上级广播电视乡镇无线发射站台运行经费关于下达广播电视乡镇无线发射站台2020年运行经费的通知19.2万元；上级自治区补助市县广电项目资金18.1万元；上级自治区补助市县广播电视电影资金4.7万元；</t>
  </si>
  <si>
    <t>县毛南语栏目经费2万元；</t>
  </si>
  <si>
    <t xml:space="preserve">    2070899</t>
  </si>
  <si>
    <t xml:space="preserve">    其他广播电视支出</t>
  </si>
  <si>
    <t>《博览桂西北》栏目经费50万元；采访车费用15万元；差旅费5万元；电视台公务业务费8万元；广播电视新闻稿费8万元；频道占用及节目费4.3万元；摄影制作等影视设备添置及维修维护费3万元；新闻部日常耗材费7万元；邮电通讯费5万元；</t>
  </si>
  <si>
    <t xml:space="preserve">  20799</t>
  </si>
  <si>
    <t xml:space="preserve">  其他文化旅游体育与传媒支出</t>
  </si>
  <si>
    <t xml:space="preserve">    2079999</t>
  </si>
  <si>
    <t xml:space="preserve">    其他文化旅游体育与传媒支出</t>
  </si>
  <si>
    <t>上级文化事业建设费收入分成21万元；</t>
  </si>
  <si>
    <t>208</t>
  </si>
  <si>
    <t>社会保障和就业支出</t>
  </si>
  <si>
    <t xml:space="preserve">  20801</t>
  </si>
  <si>
    <t xml:space="preserve">  人力资源和社会保障管理事务</t>
  </si>
  <si>
    <t xml:space="preserve">    2080101</t>
  </si>
  <si>
    <t xml:space="preserve">    行政运行（人力资源和社会保障管理事务）</t>
  </si>
  <si>
    <t>党员活动经费0.33万元；</t>
  </si>
  <si>
    <t xml:space="preserve">    2080104</t>
  </si>
  <si>
    <t xml:space="preserve">    综合业务管理</t>
  </si>
  <si>
    <t>人力资源和社会保障日常工作经费12.88万元；</t>
  </si>
  <si>
    <t xml:space="preserve">    2080105</t>
  </si>
  <si>
    <t xml:space="preserve">    劳动保障监察</t>
  </si>
  <si>
    <t>劳动监察工作经费11.27万元；</t>
  </si>
  <si>
    <t xml:space="preserve">    2080106</t>
  </si>
  <si>
    <t xml:space="preserve">    就业管理事务</t>
  </si>
  <si>
    <t>公共就业服务工作经费12.96万元；职业技能培训工作经费2.8万元；</t>
  </si>
  <si>
    <t xml:space="preserve">    2080109</t>
  </si>
  <si>
    <t xml:space="preserve">    社会保险经办机构</t>
  </si>
  <si>
    <t>被征地农民开展工作经费2.4万元；档案整理12.96万元；日常工作经费22.4万元；社会保险基金征缴任务工作经费5万元；退休职工生存认证、工伤保险待遇支付调查工作专项经费3.2万元；乡镇社保开展城乡养老保险工作经费15万元；</t>
  </si>
  <si>
    <t xml:space="preserve">    2080112</t>
  </si>
  <si>
    <t xml:space="preserve">    劳动人事争议调解仲裁</t>
  </si>
  <si>
    <t>劳动仲裁办案工作经费7.2万元；</t>
  </si>
  <si>
    <t xml:space="preserve">    2080199</t>
  </si>
  <si>
    <t xml:space="preserve">    其他人力资源和社会保障管理事务支出</t>
  </si>
  <si>
    <t xml:space="preserve"> 保障农民工工资工作经费6.4万元；工伤认定工作经费4.8万元；公开招聘事业单位工作人员和事业单位紧缺人才工作经费16.38万元；农民工工资应急周转金10万元；人才中心档案管理经费2万元；上级“服务惠民”专项活动资金53万元；上级基层就业和社保服务设施改善提升项目建设资金73万元；上级农民工创业奖补资金262万元；上级企业薪酬调查项目经费0.42万元；</t>
  </si>
  <si>
    <t>上级专款结余支出1.78万元；</t>
  </si>
  <si>
    <t xml:space="preserve">  20802</t>
  </si>
  <si>
    <t xml:space="preserve">  民政管理事务</t>
  </si>
  <si>
    <t xml:space="preserve">    2080201</t>
  </si>
  <si>
    <t xml:space="preserve">    行政运行（民政管理事务）</t>
  </si>
  <si>
    <t>党支部组织生活经费0.3万元；</t>
  </si>
  <si>
    <t xml:space="preserve">    2080202</t>
  </si>
  <si>
    <t xml:space="preserve">    一般行政管理事务（民政管理事务）</t>
  </si>
  <si>
    <t xml:space="preserve">    2080207</t>
  </si>
  <si>
    <t xml:space="preserve">    行政区划和地名管理</t>
  </si>
  <si>
    <t>二普工作经费1.6万元；行政区划调整工作经费4万元；</t>
  </si>
  <si>
    <t xml:space="preserve">    2080208</t>
  </si>
  <si>
    <t xml:space="preserve">    基层政权建设和社区治理</t>
  </si>
  <si>
    <t>“三社联动”促易地扶贫搬迁“六联一带”后续管理服务提升行动实施方案50万元；</t>
  </si>
  <si>
    <t xml:space="preserve">    2080299</t>
  </si>
  <si>
    <t xml:space="preserve">    其他民政管理事务支出</t>
  </si>
  <si>
    <t>民政日常工作经费38.8万元；特困管理人员工资10万元；乡镇民政办工作经费4万元；</t>
  </si>
  <si>
    <t xml:space="preserve">  20805</t>
  </si>
  <si>
    <t xml:space="preserve">  行政事业单位养老支出</t>
  </si>
  <si>
    <t xml:space="preserve">    2080505</t>
  </si>
  <si>
    <t xml:space="preserve">    机关事业单位基本养老保险缴费支出</t>
  </si>
  <si>
    <t xml:space="preserve">    2080507</t>
  </si>
  <si>
    <t xml:space="preserve">    对机关事业单位基本养老保险基金的补助</t>
  </si>
  <si>
    <t>上级机关事业单位养老保险1672万元；</t>
  </si>
  <si>
    <t xml:space="preserve">    2080599</t>
  </si>
  <si>
    <t xml:space="preserve">    其他行政事业单位养老支出</t>
  </si>
  <si>
    <t>建国初期参加革命工作部分退休干部护理费5.28万元；</t>
  </si>
  <si>
    <t xml:space="preserve">  20806</t>
  </si>
  <si>
    <t xml:space="preserve">  企业改革补助</t>
  </si>
  <si>
    <t xml:space="preserve">    2080601</t>
  </si>
  <si>
    <t xml:space="preserve">    企业关闭破产补助</t>
  </si>
  <si>
    <t>临管委工作支出22万元；雅钢解困资金252万元；</t>
  </si>
  <si>
    <t xml:space="preserve">  20807</t>
  </si>
  <si>
    <t xml:space="preserve">  就业补助</t>
  </si>
  <si>
    <t xml:space="preserve">    2080702</t>
  </si>
  <si>
    <t xml:space="preserve">    职业培训补贴</t>
  </si>
  <si>
    <t>上级职业培训补助资金170万元；</t>
  </si>
  <si>
    <t xml:space="preserve">    2080704</t>
  </si>
  <si>
    <t xml:space="preserve">    社会保险补贴</t>
  </si>
  <si>
    <t>上级社会保险补贴补助资金80万元；</t>
  </si>
  <si>
    <t xml:space="preserve">    2080705</t>
  </si>
  <si>
    <t xml:space="preserve">    公益性岗位补贴</t>
  </si>
  <si>
    <t>上级公益性岗位补贴补助资金520万元；</t>
  </si>
  <si>
    <t xml:space="preserve">    2080709</t>
  </si>
  <si>
    <t xml:space="preserve">    职业技能鉴定补贴</t>
  </si>
  <si>
    <t>上级职业技能鉴定补贴补助资金30万元；</t>
  </si>
  <si>
    <t xml:space="preserve">    2080711</t>
  </si>
  <si>
    <t xml:space="preserve">    就业见习补贴</t>
  </si>
  <si>
    <t>上级就业见习补贴50万元；</t>
  </si>
  <si>
    <t xml:space="preserve">    2080799</t>
  </si>
  <si>
    <t xml:space="preserve">    其他就业补助支出</t>
  </si>
  <si>
    <t>上级其他就业补助支出150万元；</t>
  </si>
  <si>
    <t xml:space="preserve">  20808</t>
  </si>
  <si>
    <t xml:space="preserve">  抚恤</t>
  </si>
  <si>
    <t xml:space="preserve">    2080803</t>
  </si>
  <si>
    <t xml:space="preserve">    在乡复员、退伍军人生活补助</t>
  </si>
  <si>
    <t>在乡复员、退伍军人生活补助12.55万元；上级优抚对象补助经费616.91万元；</t>
  </si>
  <si>
    <t xml:space="preserve">    2080805</t>
  </si>
  <si>
    <t xml:space="preserve">    义务兵优待</t>
  </si>
  <si>
    <t>义务兵优待460.65万元；</t>
  </si>
  <si>
    <t xml:space="preserve">  20809</t>
  </si>
  <si>
    <t xml:space="preserve">  退役安置</t>
  </si>
  <si>
    <t xml:space="preserve">    2080901</t>
  </si>
  <si>
    <t xml:space="preserve">    退役士兵安置</t>
  </si>
  <si>
    <t>退役士兵自主就业金及培训费17.82万元；上级自主就业退役士兵一次性经济补助72万元；</t>
  </si>
  <si>
    <t xml:space="preserve">    2080902</t>
  </si>
  <si>
    <t xml:space="preserve">    军队移交政府的离退休人员安置</t>
  </si>
  <si>
    <t>上级退役安置（离退休人员）补助经费15万元；</t>
  </si>
  <si>
    <t xml:space="preserve">    2080903</t>
  </si>
  <si>
    <t xml:space="preserve">    军队移交政府离退休干部管理机构</t>
  </si>
  <si>
    <t>上级退役安置（管理机构）补助经费4万元；</t>
  </si>
  <si>
    <t xml:space="preserve">    2080904</t>
  </si>
  <si>
    <t xml:space="preserve">    退役士兵管理教育</t>
  </si>
  <si>
    <t>上级退役士兵教育培训补助1万元；</t>
  </si>
  <si>
    <t xml:space="preserve">    2080905</t>
  </si>
  <si>
    <t xml:space="preserve">    军队转业干部安置</t>
  </si>
  <si>
    <t>部分退休企业军转干部生活困难补助8.8万元；军转干部医疗保险3.2万元；上级财政企业军转干部生活困难补助经费20万元；</t>
  </si>
  <si>
    <t xml:space="preserve">    2080999</t>
  </si>
  <si>
    <t xml:space="preserve">    其他退役安置支出</t>
  </si>
  <si>
    <t>退役军人及其他优抚对象一人一户建档立卡6万元；</t>
  </si>
  <si>
    <t xml:space="preserve">  20810</t>
  </si>
  <si>
    <t xml:space="preserve">  社会福利</t>
  </si>
  <si>
    <t xml:space="preserve">    2081001</t>
  </si>
  <si>
    <t xml:space="preserve">    儿童福利</t>
  </si>
  <si>
    <t>孤儿县级配套及六一慰问资金5.95万元；全县事实无人抚养儿童基本生活补助费县级配套资金9.72万元；</t>
  </si>
  <si>
    <t xml:space="preserve">    2081002</t>
  </si>
  <si>
    <t xml:space="preserve">    老年福利</t>
  </si>
  <si>
    <t xml:space="preserve">  20811</t>
  </si>
  <si>
    <t xml:space="preserve">  残疾人事业</t>
  </si>
  <si>
    <t xml:space="preserve">    2081101</t>
  </si>
  <si>
    <t xml:space="preserve">    行政运行（残疾人事业）</t>
  </si>
  <si>
    <t>党支部组织生活经费0.15万元；</t>
  </si>
  <si>
    <t xml:space="preserve">    2081104</t>
  </si>
  <si>
    <t xml:space="preserve">    残疾人康复</t>
  </si>
  <si>
    <t>残疾儿童康复救助60万元；康复工作项目经费4.8万元；上级残疾人康复补助8.65万元；</t>
  </si>
  <si>
    <t xml:space="preserve">    2081105</t>
  </si>
  <si>
    <t xml:space="preserve">    残疾人就业和扶贫</t>
  </si>
  <si>
    <t>残疾人就业服务机构建设和运行经费25万元；残疾人自主就业创业扶持5万元；党员扶残温暖同行项目配套资金3.4万元；扶持教育项目3.87万元；县级“阳光助残扶贫基地”建设项目5万元；自治区级“阳光助残扶贫基地”建设配套资金5万元；上级农村贫困残疾人实用技术培训项目6万元；上级阳光家园计划5.25万元；</t>
  </si>
  <si>
    <t xml:space="preserve">    2081107</t>
  </si>
  <si>
    <t xml:space="preserve">    残疾人生活和护理补贴</t>
  </si>
  <si>
    <t>残疾人两项补贴县级配套资金68.5万元；上级残疾人生活和护理补贴1200万元；</t>
  </si>
  <si>
    <t xml:space="preserve">    2081199</t>
  </si>
  <si>
    <t xml:space="preserve">    其他残疾人事业支出</t>
  </si>
  <si>
    <t>残疾人基本信息更新工作经费3万元；残疾人之家（残疾人法律救助站）建设2万元；个体工商户和灵活就业残疾人参加企业职工养老保险补贴项目6万元；会计代理服务费4.1万元；重度残疾人（新农合）基本医疗保险个人缴费补贴25万元；</t>
  </si>
  <si>
    <t xml:space="preserve">  20819</t>
  </si>
  <si>
    <t xml:space="preserve">  最低生活保障</t>
  </si>
  <si>
    <t xml:space="preserve">    2081902</t>
  </si>
  <si>
    <t xml:space="preserve">    农村最低生活保障金支出</t>
  </si>
  <si>
    <t>上级城乡最低生活保障补助1515万元；</t>
  </si>
  <si>
    <t xml:space="preserve">  20820</t>
  </si>
  <si>
    <t xml:space="preserve">  临时救助</t>
  </si>
  <si>
    <t xml:space="preserve">    2082001</t>
  </si>
  <si>
    <t xml:space="preserve">    临时救助支出</t>
  </si>
  <si>
    <t>上级临时救助补助300万元；</t>
  </si>
  <si>
    <t xml:space="preserve">    2082002</t>
  </si>
  <si>
    <t xml:space="preserve">    流浪乞讨人员救助支出</t>
  </si>
  <si>
    <t>上级乞讨人员救助补助金70万元；</t>
  </si>
  <si>
    <t xml:space="preserve">  20821</t>
  </si>
  <si>
    <t xml:space="preserve">  特困人员救助供养</t>
  </si>
  <si>
    <t xml:space="preserve">    2082102</t>
  </si>
  <si>
    <t xml:space="preserve">    农村特困人员救助供养支出</t>
  </si>
  <si>
    <t>五保服务经费12万元；上级农村特困人员救助供养1300万元；</t>
  </si>
  <si>
    <t xml:space="preserve">  20825</t>
  </si>
  <si>
    <t xml:space="preserve">  其他生活救助</t>
  </si>
  <si>
    <t xml:space="preserve">    2082502</t>
  </si>
  <si>
    <t xml:space="preserve">    其他农村生活救助</t>
  </si>
  <si>
    <t xml:space="preserve">  20826</t>
  </si>
  <si>
    <t xml:space="preserve">  财政对基本养老保险基金的补助</t>
  </si>
  <si>
    <t xml:space="preserve">    2082601</t>
  </si>
  <si>
    <t xml:space="preserve">    财政对企业职工基本养老保险基金的补助</t>
  </si>
  <si>
    <t xml:space="preserve">    2082602</t>
  </si>
  <si>
    <t xml:space="preserve">    财政对城乡居民基本养老保险基金的补助</t>
  </si>
  <si>
    <t>城乡基本养老个人缴费县级补助91.56万元；城乡基本养老基础养老金县级补助355.03万元；上级财政城乡居民基本养老保险基础养老金及缴费补贴补助4615万元；</t>
  </si>
  <si>
    <t xml:space="preserve">  20828</t>
  </si>
  <si>
    <t xml:space="preserve">  退役军人管理事务</t>
  </si>
  <si>
    <t xml:space="preserve">    2082801</t>
  </si>
  <si>
    <t xml:space="preserve">    行政运行（退役军人管理事务）</t>
  </si>
  <si>
    <t>党员活动经费0.08万元；</t>
  </si>
  <si>
    <t xml:space="preserve">    2082804</t>
  </si>
  <si>
    <t xml:space="preserve">    拥军优属</t>
  </si>
  <si>
    <t>“八一”建军节慰问金51.04万元；</t>
  </si>
  <si>
    <t xml:space="preserve">    2082899</t>
  </si>
  <si>
    <t xml:space="preserve">    其他退役军人事务管理支出</t>
  </si>
  <si>
    <t>烈士纪念日活动1万元；退役军人服务中心建设经费6万元；望峰山烈士陵园管理4万元；信访维稳1万元；优抚等工作经费7.2万元；治安管理4.5万元；</t>
  </si>
  <si>
    <t xml:space="preserve">  20830</t>
  </si>
  <si>
    <t xml:space="preserve">  财政代缴社会保险费支出</t>
  </si>
  <si>
    <t xml:space="preserve">    2083001</t>
  </si>
  <si>
    <t xml:space="preserve">    财政代缴城乡居民基本养老保险费支出</t>
  </si>
  <si>
    <t>城乡居民养老保险特殊人群政府代缴个人保险费30.63万元；</t>
  </si>
  <si>
    <t xml:space="preserve">    2083099</t>
  </si>
  <si>
    <t xml:space="preserve">    财政代缴其他社会保险费支出</t>
  </si>
  <si>
    <t>上级城乡居民基本医疗保险个人缴费政府代缴补助356万元；</t>
  </si>
  <si>
    <t xml:space="preserve">  20899</t>
  </si>
  <si>
    <t xml:space="preserve">  其他社会保障和就业支出</t>
  </si>
  <si>
    <t xml:space="preserve">    2089999</t>
  </si>
  <si>
    <t xml:space="preserve">    其他社会保障和就业支出</t>
  </si>
  <si>
    <t>210</t>
  </si>
  <si>
    <t>卫生健康支出</t>
  </si>
  <si>
    <t xml:space="preserve">  21001</t>
  </si>
  <si>
    <t xml:space="preserve">  卫生健康管理事务</t>
  </si>
  <si>
    <t xml:space="preserve">    2100101</t>
  </si>
  <si>
    <t xml:space="preserve">    行政运行（卫生健康管理事务）</t>
  </si>
  <si>
    <t>党支部组织生活经费1.24万元；卫生健康业务一般工作经费44.97万元；</t>
  </si>
  <si>
    <t xml:space="preserve">    2100199</t>
  </si>
  <si>
    <t xml:space="preserve">    其他卫生健康管理事务支出</t>
  </si>
  <si>
    <t>创建卫生县城除“四害”专项经费20万元；创建自治区卫生县工作经费2.16万元；农村医学专业订单定向乡村医生培养经费13.68万元；卫生应急工作经费13.6万元；</t>
  </si>
  <si>
    <t xml:space="preserve">  21002</t>
  </si>
  <si>
    <t xml:space="preserve">  公立医院</t>
  </si>
  <si>
    <t xml:space="preserve">    2100201</t>
  </si>
  <si>
    <t xml:space="preserve">    综合医院</t>
  </si>
  <si>
    <t>党支部组织生活经费0.83万元；药品零差率县级补助29.68万元；上级公立医院改革、建设补助资金599万元；</t>
  </si>
  <si>
    <t xml:space="preserve">    2100299</t>
  </si>
  <si>
    <t xml:space="preserve">    其他公立医院支出</t>
  </si>
  <si>
    <t>上级公立医院取消药品加成补偿经费81万元；</t>
  </si>
  <si>
    <t xml:space="preserve">  21003</t>
  </si>
  <si>
    <t xml:space="preserve">  基层医疗卫生机构</t>
  </si>
  <si>
    <t xml:space="preserve">    2100302</t>
  </si>
  <si>
    <t xml:space="preserve">    乡镇卫生院</t>
  </si>
  <si>
    <t>上级乡镇卫生院工资补助244万元；</t>
  </si>
  <si>
    <t xml:space="preserve">    2100399</t>
  </si>
  <si>
    <t xml:space="preserve">    其他基层医疗卫生机构支出</t>
  </si>
  <si>
    <t>村卫生室基本药物制度补助资金县级配套17.04万元；乡村医生养老生活补助11.4万元；上级基层医疗卫生机构实施基本药物制度补助639万元；上级乡村医生养老生活补助51万元；</t>
  </si>
  <si>
    <t xml:space="preserve">  21004</t>
  </si>
  <si>
    <t xml:space="preserve">  公共卫生</t>
  </si>
  <si>
    <t xml:space="preserve">    2100401</t>
  </si>
  <si>
    <t xml:space="preserve">    疾病预防控制机构</t>
  </si>
  <si>
    <t>从业人员预防性体检项目50万元；党支部组织生活经费0.14万元；冷链设备管理和免疫规划工作经费37万元；</t>
  </si>
  <si>
    <t xml:space="preserve">    2100402</t>
  </si>
  <si>
    <t xml:space="preserve">    卫生监督机构</t>
  </si>
  <si>
    <t>公共卫生监督6.48万元；</t>
  </si>
  <si>
    <t xml:space="preserve">    2100403</t>
  </si>
  <si>
    <t xml:space="preserve">    妇幼保健机构</t>
  </si>
  <si>
    <t>党支部组织生活经费0.55万元；公立医院取消药品加成项目6.66万元；降消项目10万元；免费婚前医学保健和孕前优生健康检查项目17万元；</t>
  </si>
  <si>
    <t xml:space="preserve">    2100408</t>
  </si>
  <si>
    <t xml:space="preserve">    基本公共卫生服务</t>
  </si>
  <si>
    <t>基本公共卫生服务项目县级配套资金104.9万元；上级财政基本公共卫生服务补助资金290.64万元；</t>
  </si>
  <si>
    <t xml:space="preserve">    2100409</t>
  </si>
  <si>
    <t xml:space="preserve">    重大公共卫生服务</t>
  </si>
  <si>
    <t>严重精神障碍患者以奖代补工作经费48万元；上级财政重大公共卫生服务补助资金155.13万元；</t>
  </si>
  <si>
    <t xml:space="preserve">    2100499</t>
  </si>
  <si>
    <t xml:space="preserve">    其他公共卫生支出</t>
  </si>
  <si>
    <t>核酸检测及疫情常态化防控项目10万元；上级财政地方公共卫生服务项目资金143.06万元；</t>
  </si>
  <si>
    <t xml:space="preserve">  21007</t>
  </si>
  <si>
    <t xml:space="preserve">  计划生育事务</t>
  </si>
  <si>
    <t xml:space="preserve">    2100716</t>
  </si>
  <si>
    <t xml:space="preserve">    计划生育机构</t>
  </si>
  <si>
    <t>乡镇计生所工作经费43.2万元；</t>
  </si>
  <si>
    <t xml:space="preserve">    2100717</t>
  </si>
  <si>
    <t xml:space="preserve">    计划生育服务</t>
  </si>
  <si>
    <t>上级计生家庭奖励补助和特扶补助351万元；</t>
  </si>
  <si>
    <t xml:space="preserve">    2100799</t>
  </si>
  <si>
    <t xml:space="preserve">    其他计划生育事务支出</t>
  </si>
  <si>
    <t>出生人口缺陷社会化干预1.6万元；非财政拨款企业退休人员独生子女待遇89.97万元；工人编制所长享受副科工资待遇补助1.21万元；广西城镇居民独生子女父母年老奖励金县级配套5.5万元；广西农村计划生育家庭奖励扶（救）助资金县级配套9.12万元；计划生育免费技术服务县级配套经费5万元；计划生育特殊家庭扶助金9.36万元；计生家庭关爱保险补助22.5万元；计生协会小组长工资报酬39.23万元；农村、破产企业、城镇无业人员独生子女保健费18万元；农村独生子女户、双女结扎户新农合补助453.6万元；人口计生协会工作经费8万元；</t>
  </si>
  <si>
    <t xml:space="preserve">  21011</t>
  </si>
  <si>
    <t xml:space="preserve">  行政事业单位医疗</t>
  </si>
  <si>
    <t xml:space="preserve">    2101101</t>
  </si>
  <si>
    <t xml:space="preserve">    行政单位医疗</t>
  </si>
  <si>
    <t>建国初期参加革命工作部分退休干部医疗补助费5.2万元；离休人员医疗保障经费30万元；</t>
  </si>
  <si>
    <t xml:space="preserve">  21012</t>
  </si>
  <si>
    <t xml:space="preserve">  财政对基本医疗保险基金的补助</t>
  </si>
  <si>
    <t xml:space="preserve">    2101202</t>
  </si>
  <si>
    <t xml:space="preserve">    财政对城乡居民基本医疗保险基金的补助</t>
  </si>
  <si>
    <t>城乡居民医疗县级配套补助944.6万元；上级财政城乡居民基本医疗保险补助资金17374万元；</t>
  </si>
  <si>
    <t xml:space="preserve">  21013</t>
  </si>
  <si>
    <t xml:space="preserve">  医疗救助</t>
  </si>
  <si>
    <t xml:space="preserve">    2101301</t>
  </si>
  <si>
    <t xml:space="preserve">    城乡医疗救助</t>
  </si>
  <si>
    <t>上级城乡医疗救助补助1546万元；</t>
  </si>
  <si>
    <t xml:space="preserve">  21014</t>
  </si>
  <si>
    <t xml:space="preserve">  优抚对象医疗</t>
  </si>
  <si>
    <t xml:space="preserve">    2101401</t>
  </si>
  <si>
    <t xml:space="preserve">    优抚对象医疗补助</t>
  </si>
  <si>
    <t>上级优抚对象医疗保障21.15万元；</t>
  </si>
  <si>
    <t xml:space="preserve">  21015</t>
  </si>
  <si>
    <t xml:space="preserve">  医疗保障管理事务</t>
  </si>
  <si>
    <t xml:space="preserve">    2101501</t>
  </si>
  <si>
    <t xml:space="preserve">    行政运行（医疗保障管理事务）</t>
  </si>
  <si>
    <t>日常工作经费20万元；</t>
  </si>
  <si>
    <t xml:space="preserve">    2101550</t>
  </si>
  <si>
    <t xml:space="preserve">    事业运行（医疗保障管理事务）</t>
  </si>
  <si>
    <t xml:space="preserve">    2101599</t>
  </si>
  <si>
    <t xml:space="preserve">    其他医疗保障管理事务支出</t>
  </si>
  <si>
    <t>打击欺诈骗保专项活动经费2万元；外伤调查经费4万元；上级医疗保障能力建设资金17万元；</t>
  </si>
  <si>
    <t xml:space="preserve">  21016</t>
  </si>
  <si>
    <t xml:space="preserve">  老龄卫生健康事务</t>
  </si>
  <si>
    <t xml:space="preserve">    2101601</t>
  </si>
  <si>
    <t xml:space="preserve">    老龄卫生健康事务</t>
  </si>
  <si>
    <t>老龄办重阳节活动经费7.2万元；</t>
  </si>
  <si>
    <t>211</t>
  </si>
  <si>
    <t>节能环保支出</t>
  </si>
  <si>
    <t xml:space="preserve">  21101</t>
  </si>
  <si>
    <t xml:space="preserve">  环境保护管理事务</t>
  </si>
  <si>
    <t xml:space="preserve">    2110101</t>
  </si>
  <si>
    <t xml:space="preserve">    行政运行（环境保护管理事务）</t>
  </si>
  <si>
    <t xml:space="preserve">  21102</t>
  </si>
  <si>
    <t xml:space="preserve">  环境监测与监察</t>
  </si>
  <si>
    <t xml:space="preserve">    2110299</t>
  </si>
  <si>
    <t xml:space="preserve">    其他环境监测与监察支出</t>
  </si>
  <si>
    <t>环境监测站工作经费8.8万元；局机关及监察大队19.04万元；应急中心工作经费6.32万元；重点生态功能区监测经费16万元；</t>
  </si>
  <si>
    <t xml:space="preserve">  21103</t>
  </si>
  <si>
    <t xml:space="preserve">  污染防治</t>
  </si>
  <si>
    <t xml:space="preserve">    2110302</t>
  </si>
  <si>
    <t xml:space="preserve">    水体</t>
  </si>
  <si>
    <t>上级已建城镇级污水处理设施运营补助100万元；</t>
  </si>
  <si>
    <t>上级专款结余支出44.45万元；</t>
  </si>
  <si>
    <t xml:space="preserve">  21104</t>
  </si>
  <si>
    <t xml:space="preserve">  自然生态保护</t>
  </si>
  <si>
    <t xml:space="preserve">    2110401</t>
  </si>
  <si>
    <t xml:space="preserve">    生态保护</t>
  </si>
  <si>
    <t>上级中央财政林业草原生态保护恢复资金2750万元；</t>
  </si>
  <si>
    <t xml:space="preserve">    2110499</t>
  </si>
  <si>
    <t xml:space="preserve">    其他自然生态保护支出</t>
  </si>
  <si>
    <t>上级专款结余支出2750万元；</t>
  </si>
  <si>
    <t xml:space="preserve">  21105</t>
  </si>
  <si>
    <t xml:space="preserve">  天然林保护</t>
  </si>
  <si>
    <t xml:space="preserve">    2110507</t>
  </si>
  <si>
    <t xml:space="preserve">    停伐补助</t>
  </si>
  <si>
    <t>上级中央财政林业草原生态保护恢复资金135.36万元；</t>
  </si>
  <si>
    <t xml:space="preserve">  21106</t>
  </si>
  <si>
    <t xml:space="preserve">  退耕还林还草</t>
  </si>
  <si>
    <t xml:space="preserve">    2110699</t>
  </si>
  <si>
    <t xml:space="preserve">    其他退耕还林还草支出</t>
  </si>
  <si>
    <t>退耕还林补植补造项目5.15万元；上级森林植被恢复费400万元；</t>
  </si>
  <si>
    <t xml:space="preserve">  21107</t>
  </si>
  <si>
    <t xml:space="preserve">  风沙荒漠治理</t>
  </si>
  <si>
    <t xml:space="preserve">    2110799</t>
  </si>
  <si>
    <t xml:space="preserve">    其他风沙荒漠治理支出</t>
  </si>
  <si>
    <t>上级石漠化综合治理项目资金1000万元；</t>
  </si>
  <si>
    <t>212</t>
  </si>
  <si>
    <t>城乡社区支出</t>
  </si>
  <si>
    <t xml:space="preserve">  21201</t>
  </si>
  <si>
    <t xml:space="preserve">  城乡社区管理事务</t>
  </si>
  <si>
    <t xml:space="preserve">    2120101</t>
  </si>
  <si>
    <t xml:space="preserve">    行政运行（城乡社区管理事务）</t>
  </si>
  <si>
    <t>党支部组织生活经费0.29万元；市政工作经费7.9万元；行政工作经费34.49万元；</t>
  </si>
  <si>
    <t xml:space="preserve">    2120102</t>
  </si>
  <si>
    <t xml:space="preserve">    一般行政管理事务（城乡社区管理事务）</t>
  </si>
  <si>
    <t>建筑节能墙改站工作经费6.68万元；</t>
  </si>
  <si>
    <t xml:space="preserve">    2120103</t>
  </si>
  <si>
    <t xml:space="preserve">    机关服务（城乡社区管理事务）</t>
  </si>
  <si>
    <t>党支部组织生活经费0.27万元；</t>
  </si>
  <si>
    <t xml:space="preserve">    2120104</t>
  </si>
  <si>
    <t xml:space="preserve">    城管执法</t>
  </si>
  <si>
    <t>聘请律师工作经费5万元；燃气行政执法整治工作经费8万元；执法服装、执法器具购置经费4万元；执法工作经费40万元；</t>
  </si>
  <si>
    <t xml:space="preserve">    2120106</t>
  </si>
  <si>
    <t xml:space="preserve">    工程建设管理</t>
  </si>
  <si>
    <t>工程建设管理工作经费2.4万元；</t>
  </si>
  <si>
    <t xml:space="preserve">    2120199</t>
  </si>
  <si>
    <t xml:space="preserve">    其他城乡社区管理事务支出</t>
  </si>
  <si>
    <t xml:space="preserve">  21203</t>
  </si>
  <si>
    <t xml:space="preserve">  城乡社区公共设施</t>
  </si>
  <si>
    <t xml:space="preserve">    2120399</t>
  </si>
  <si>
    <t xml:space="preserve">    其他城乡社区公共设施支出</t>
  </si>
  <si>
    <t>上级人口较少民族发展项目资金2500万元；上级乡村振兴项目补助（城镇基础设施建设）1500万元；</t>
  </si>
  <si>
    <t>上级农村人居环境基础设施建设项目500万元；</t>
  </si>
  <si>
    <t>城区下水道清理疏通及市政管理经费16万元；</t>
  </si>
  <si>
    <t xml:space="preserve">  21205</t>
  </si>
  <si>
    <t xml:space="preserve">  城乡社区环境卫生</t>
  </si>
  <si>
    <t xml:space="preserve">    2120501</t>
  </si>
  <si>
    <t xml:space="preserve">    城乡社区环境卫生</t>
  </si>
  <si>
    <t>办公费、代收垃圾处理费手续费9.6万元；城区公共厕所管理费16万元；城区花厢绿化养护管理经费14.4万元；城区路灯电费200万元；城区路灯配件及维修费16万元；城区路树维护（修）费8万元；大广场维护（修）费8万元；党支部组织生活经费0.11万元；河池市德胜生活垃圾处理场运营经费和专项项目建设经费545万元；环卫工人劳保及工具费4万元；聘用人员慰问金4万元；水费9.6万元；</t>
  </si>
  <si>
    <t>保洁公司运行费1213万元；</t>
  </si>
  <si>
    <t xml:space="preserve">  21206</t>
  </si>
  <si>
    <t xml:space="preserve">  建设市场管理与监督</t>
  </si>
  <si>
    <t xml:space="preserve">    2120601</t>
  </si>
  <si>
    <t xml:space="preserve">    建设市场管理与监督</t>
  </si>
  <si>
    <t>质监站工作经费4万元；</t>
  </si>
  <si>
    <t xml:space="preserve">  21299</t>
  </si>
  <si>
    <t xml:space="preserve">  其他城乡社区支出</t>
  </si>
  <si>
    <t xml:space="preserve">    2129999</t>
  </si>
  <si>
    <t xml:space="preserve">    其他城乡社区支出</t>
  </si>
  <si>
    <t>城乡社区专项经费200万元；高铁站站房扩建1500万元；乡村清洁工程经费434万元；乡镇垃圾处理站运行经费50万元；</t>
  </si>
  <si>
    <t>213</t>
  </si>
  <si>
    <t>农林水支出</t>
  </si>
  <si>
    <t xml:space="preserve">  21301</t>
  </si>
  <si>
    <t xml:space="preserve">  农业农村</t>
  </si>
  <si>
    <t xml:space="preserve">    2130101</t>
  </si>
  <si>
    <t xml:space="preserve">    行政运行（农业农村）</t>
  </si>
  <si>
    <t xml:space="preserve">    2130104</t>
  </si>
  <si>
    <t xml:space="preserve">    事业运行（农业农村）</t>
  </si>
  <si>
    <t>党支部组织活动经费0.71万元；工作经费4万元；</t>
  </si>
  <si>
    <t>党支部组织生活费0.1万元；农村产权流转交易信息平台工作经费5万元；农村集体经济组织和农民专业合作社财务培训费1万元；农村经济统计工作经费1万元；农村土地承包管理工作经费1万元；农村土地承包经营纠纷仲裁工作经费2万元；农民负担执法检查工作经费1万元；农业产业化工作经费1.78万元；</t>
  </si>
  <si>
    <t>聘请农民水果技术员工作经费26.52万元；水果技术培训工作经费18万元；</t>
  </si>
  <si>
    <t>党支部组织生活经费0.13万元；高产高糖糖料蔗生产工作经费8.37万元；糖料蔗生产工作会议费1万元；糖蔗高产高糖栽培技术培训费5万元；</t>
  </si>
  <si>
    <t>党支部组织生活费0.07万元；</t>
  </si>
  <si>
    <t>蚕沙无害化处理池示范点0.56万元；党支部组织生活经费0.13万元；工作经费11.12万元；</t>
  </si>
  <si>
    <t xml:space="preserve">    2130106</t>
  </si>
  <si>
    <t xml:space="preserve">    科技转化与推广服务</t>
  </si>
  <si>
    <t>科教站培训工作经费1.6万元；农业支持保护补贴工作经费5.76万元；农展会工作经费1.6万元；畜牧水产养殖技术培训和农村党员培训经费1.6万元；上级农业生产发展费用124万元；上级农业专项转移支付费用300万元；</t>
  </si>
  <si>
    <t>农机新技术、新机具推广经费3.52万元；水稻生产全程机械化经费2万元；</t>
  </si>
  <si>
    <t>上级专款结余支出40万元；</t>
  </si>
  <si>
    <t xml:space="preserve">    2130108</t>
  </si>
  <si>
    <t xml:space="preserve">    病虫害控制</t>
  </si>
  <si>
    <t>病虫害防治经费4万元；动物疫病疫情监测经费6.4万元；动物猪瘟疫苗经费11.2万元；基层动物防疫强制免疫（村防治员）补助经费34.5万元；畜禽防疫保护费30.4万元；养殖环节病死猪无害化处理补贴经费2.4万元；上级农业专项转移支付经费130万元；</t>
  </si>
  <si>
    <t xml:space="preserve">    2130109</t>
  </si>
  <si>
    <t xml:space="preserve">    农产品质量安全</t>
  </si>
  <si>
    <t>农产品质量安全检测7.2万元；食品安全、屠宰检疫、兽药监管执法经费9.6万元；上级农业专项转移资金76.6万元；</t>
  </si>
  <si>
    <t xml:space="preserve">    2130110</t>
  </si>
  <si>
    <t xml:space="preserve">    执法监管</t>
  </si>
  <si>
    <t>“打非治违”专项整治经费2.4万元；创建“平安农机”和农机安全生产宣传经费1.62万元；订购农机监理服装经费3.6万元；农机安全生产大检查活动经费3.46万元；农机事故应急演练经费1.86万元；农业执法、动物检疫、渔业行政执法服装费20万元；农业综合行政执法11.2万元；拖拉机、联合收割集中年检月活动经费3.68万元；养殖场病死猪无害化处理监管经费10.32万元；渔政执法经费4万元；</t>
  </si>
  <si>
    <t xml:space="preserve">    2130111</t>
  </si>
  <si>
    <t xml:space="preserve">    统计监测与信息服务</t>
  </si>
  <si>
    <t>农业遥感监测经费3万元；市级遥感试点业务工作1.13万元；县级遥感监测站项目运行3万元；</t>
  </si>
  <si>
    <t xml:space="preserve">    2130112</t>
  </si>
  <si>
    <t xml:space="preserve">    行业业务管理</t>
  </si>
  <si>
    <t>各分场、场部基础建设费6.4万元；营林防火生产费37.2万元；</t>
  </si>
  <si>
    <t xml:space="preserve">    2130121</t>
  </si>
  <si>
    <t xml:space="preserve">    农业结构调整补贴</t>
  </si>
  <si>
    <t>耕地质量定点监测费4万元；食用菌示范经费1.6万元；现代特色农业核心示范区建设工作经费1.82万元；</t>
  </si>
  <si>
    <t xml:space="preserve">    2130122</t>
  </si>
  <si>
    <t xml:space="preserve">    农业生产发展</t>
  </si>
  <si>
    <t>上级农业生产发展资金3200万元；</t>
  </si>
  <si>
    <t>上级现代特色农业（核心）示范区补助资金400万元；</t>
  </si>
  <si>
    <t>上级中央农业生产发展资金400万元；</t>
  </si>
  <si>
    <t>上级专款结余支出10万元；上级专款结余支出130万元；上级专款结余支出90万元；</t>
  </si>
  <si>
    <t xml:space="preserve">    2130125</t>
  </si>
  <si>
    <t xml:space="preserve">    农产品加工与促销</t>
  </si>
  <si>
    <t>上级农业专项转移支付资金219万元；</t>
  </si>
  <si>
    <t xml:space="preserve">    2130126</t>
  </si>
  <si>
    <t xml:space="preserve">    农村社会事业</t>
  </si>
  <si>
    <t>新农村建设工作经费1.6万元；</t>
  </si>
  <si>
    <t xml:space="preserve">    2130135</t>
  </si>
  <si>
    <t xml:space="preserve">    农业资源保护修复与利用</t>
  </si>
  <si>
    <t>大、小环江河鱼苗增值放流3.2万元；环江香猪原种保种场维修费7万元；</t>
  </si>
  <si>
    <t xml:space="preserve">    2130148</t>
  </si>
  <si>
    <t xml:space="preserve">    成品油价格改革对渔业的补贴</t>
  </si>
  <si>
    <t>上级中央渔业成品油价格改革财政补贴资金310万元；</t>
  </si>
  <si>
    <t xml:space="preserve">    2130199</t>
  </si>
  <si>
    <t xml:space="preserve">    其他农业农村支出</t>
  </si>
  <si>
    <t>“菜篮子”工程蔬菜应急采购调运资金7.2万元；能源项目工作经费2.4万元；农机产品质量打假经费1.6万元；农机产品质量监督投诉站1.6万元；上级农业生产发展经费175万元；上级农业生产发展专项中央基建投资预算资金1000万元；上级中央和自治区农田建设补助资金4350万元；</t>
  </si>
  <si>
    <t>党支部组织生活经费0.39万元；农机购置补贴经费3万元；农机具购置补贴9万元；</t>
  </si>
  <si>
    <t>革命老区项目工作经费60万元；上级农村综合改革转移支付资金2700万元；上级专款结余支出300万元；上级专款结余支出0.79万元；</t>
  </si>
  <si>
    <t xml:space="preserve">  21302</t>
  </si>
  <si>
    <t xml:space="preserve">  林业和草原</t>
  </si>
  <si>
    <t xml:space="preserve">    2130201</t>
  </si>
  <si>
    <t xml:space="preserve">    行政运行（林业和草原）</t>
  </si>
  <si>
    <t xml:space="preserve">    2130204</t>
  </si>
  <si>
    <t xml:space="preserve">    事业机构</t>
  </si>
  <si>
    <t>2004-2016林场欠缴社保费266万元；党支部组织生活费0.5万元；林地综合整治业务费10.4万元；</t>
  </si>
  <si>
    <t xml:space="preserve">    2130205</t>
  </si>
  <si>
    <t xml:space="preserve">    森林资源培育</t>
  </si>
  <si>
    <t>上级林业改革发展费用1911.8万元；上级中央和自治区林业改革发展资金和项目建设资金1560万元；</t>
  </si>
  <si>
    <t>爱山森林公园项目26.16万元；</t>
  </si>
  <si>
    <t>病虫害防治费1.76万元；</t>
  </si>
  <si>
    <t xml:space="preserve">    2130206</t>
  </si>
  <si>
    <t xml:space="preserve">    林业技术推广与转化</t>
  </si>
  <si>
    <t>上级林业改革资金220万元；</t>
  </si>
  <si>
    <t>2020年中央财政林业科技推广示范项目3.3万元；</t>
  </si>
  <si>
    <t xml:space="preserve">    2130209</t>
  </si>
  <si>
    <t xml:space="preserve">    森林生态效益补偿</t>
  </si>
  <si>
    <t>上级林业改革发展费用3533.58万元；</t>
  </si>
  <si>
    <t xml:space="preserve">    2130213</t>
  </si>
  <si>
    <t xml:space="preserve">    执法与监督</t>
  </si>
  <si>
    <t>森林公安办案经费8万元；森林公安林业案件技术鉴定费10万元；</t>
  </si>
  <si>
    <t>森林防火费1.7万元；</t>
  </si>
  <si>
    <t xml:space="preserve">    2130227</t>
  </si>
  <si>
    <t xml:space="preserve">    贷款贴息</t>
  </si>
  <si>
    <t>高产油茶示范基地建设项目扶持贷款贴息18万元；</t>
  </si>
  <si>
    <t xml:space="preserve">    2130234</t>
  </si>
  <si>
    <t xml:space="preserve">    林业草原防灾减灾</t>
  </si>
  <si>
    <t>森林病虫害防治项目经费10.5万元；</t>
  </si>
  <si>
    <t xml:space="preserve">    2130299</t>
  </si>
  <si>
    <t xml:space="preserve">    其他林业和草原支出</t>
  </si>
  <si>
    <t>防火专项工作经费5万元；林改项目经费3万元；林业产业化项目工作经费5万元；林业局党支部组织生活经费0.96万元；林业山林纠纷调处项目经费8万元；林业行政办公系统维护项目经费9万元；林业综合行政执法项目经费12万元；林政管理项目工作经费10万元；绿化建设工作经费5.5万元；区、市、县林业项目绩效考评及档案管理项目工作经费6万元；全国重点工程区基层站标准化林业站建设县级工作经费16万元；全县林长制工作经费15.13万元；生态护林员补助工作经费6万元；营造林工作经费6万元；油茶产业发展项目工作经费6万元；油茶产业宣传材料及测产工作劳务补助20万元；上级林业改革发展费用143.13万元；上级林业改革发展资金和项目建设资金1800万元；</t>
  </si>
  <si>
    <t>上级专款结余支出24万元；</t>
  </si>
  <si>
    <t xml:space="preserve">  21303</t>
  </si>
  <si>
    <t xml:space="preserve">  水利</t>
  </si>
  <si>
    <t xml:space="preserve">    2130301</t>
  </si>
  <si>
    <t xml:space="preserve">    行政运行（水利）</t>
  </si>
  <si>
    <t xml:space="preserve">  业务经费（房租支出）7万元；党支部组织生活经费0.32万元；</t>
  </si>
  <si>
    <t xml:space="preserve">    2130304</t>
  </si>
  <si>
    <t xml:space="preserve">    水利行业业务管理</t>
  </si>
  <si>
    <t>河池市县河流交界水质达标率绩效考评经费7.5万元；下甫、下庙办公经费6万元；</t>
  </si>
  <si>
    <t xml:space="preserve">    2130305</t>
  </si>
  <si>
    <t xml:space="preserve">    水利工程建设</t>
  </si>
  <si>
    <t>上级财政水利发展资金7379万元；上级水利项目建设资金900万元；</t>
  </si>
  <si>
    <t xml:space="preserve">    2130306</t>
  </si>
  <si>
    <t xml:space="preserve">    水利工程运行与维护</t>
  </si>
  <si>
    <t>上级财政水利发展资金4214万元；</t>
  </si>
  <si>
    <t xml:space="preserve">    2130308</t>
  </si>
  <si>
    <t xml:space="preserve">    水利前期工作</t>
  </si>
  <si>
    <t>河长制工作经费10万元；水利工作经费20万元；</t>
  </si>
  <si>
    <t xml:space="preserve">    2130310</t>
  </si>
  <si>
    <t xml:space="preserve">    水土保持</t>
  </si>
  <si>
    <t>水土保持工作经费10万元；上级财政水利发展资金1668万元；上级水利项目建设费用400万元；</t>
  </si>
  <si>
    <t xml:space="preserve">    2130314</t>
  </si>
  <si>
    <t xml:space="preserve">    防汛</t>
  </si>
  <si>
    <t xml:space="preserve">  租用电信光缆经费2.5万元；25座水库汛期值班费51.9万元；全县防汛抗旱工作会议经费0.6万元；山洪灾害非工程措施监测、预警系统运行维护费10.3万元；水库防汛值班定位电话0.78万元；汛期防办值班补助经费10.68万元；上级财政水利发展资金569万元；上级水利救灾资金270万元；</t>
  </si>
  <si>
    <t xml:space="preserve">    2130315</t>
  </si>
  <si>
    <t xml:space="preserve">    抗旱</t>
  </si>
  <si>
    <t>上级专款结余支出50万元；</t>
  </si>
  <si>
    <t xml:space="preserve">    2130321</t>
  </si>
  <si>
    <t xml:space="preserve">    大中型水库移民后期扶持专项支出</t>
  </si>
  <si>
    <t>上级中央水库移民扶持基金预算和大中型水库移民后期扶持资金1011万元；</t>
  </si>
  <si>
    <t xml:space="preserve">    2130335</t>
  </si>
  <si>
    <t xml:space="preserve">    农村人畜饮水</t>
  </si>
  <si>
    <t>上级财政水利发展资金246万元；上级财政水利项目建设资金1624万元；</t>
  </si>
  <si>
    <t xml:space="preserve">    2130399</t>
  </si>
  <si>
    <t xml:space="preserve">    其他水利支出</t>
  </si>
  <si>
    <t>水政水资源工作经费9.48万元；县城河道水上环卫队经费12万元；</t>
  </si>
  <si>
    <t xml:space="preserve">  21305</t>
  </si>
  <si>
    <t xml:space="preserve">  扶贫</t>
  </si>
  <si>
    <t xml:space="preserve">    2130501</t>
  </si>
  <si>
    <t xml:space="preserve">    行政运行（扶贫）</t>
  </si>
  <si>
    <t>扶贫办年度单位业务费25.2万元；</t>
  </si>
  <si>
    <t xml:space="preserve">    2130504</t>
  </si>
  <si>
    <t xml:space="preserve">    农村基础设施建设</t>
  </si>
  <si>
    <t>上级革命老区转移支付资金1260万元；上级财政专项扶贫经费26757万元；上级广东帮扶广西扶贫协作资金5920万元；</t>
  </si>
  <si>
    <t xml:space="preserve">    2130505</t>
  </si>
  <si>
    <t xml:space="preserve">    生产发展</t>
  </si>
  <si>
    <t>核桃产业化发展项目经费6万元；精准扶贫林业产业覆盖贫困林业项目7万元；</t>
  </si>
  <si>
    <t xml:space="preserve">    2130550</t>
  </si>
  <si>
    <t xml:space="preserve">    扶贫事业机构</t>
  </si>
  <si>
    <t xml:space="preserve">    2130599</t>
  </si>
  <si>
    <t xml:space="preserve">    其他扶贫支出</t>
  </si>
  <si>
    <t>上级财政专项扶贫费用2052万元；</t>
  </si>
  <si>
    <t>上级财政专项扶贫资金400万元；</t>
  </si>
  <si>
    <t>贫困人口参合补助资金县级配套1043.14万元；</t>
  </si>
  <si>
    <t>革命老区促进会工作经费8万元；脱贫攻坚指挥部工作经费100万元；</t>
  </si>
  <si>
    <t>脱贫巩固和乡村振兴建设经费1000万元；上级专款结余支出40万元；</t>
  </si>
  <si>
    <t xml:space="preserve">  21307</t>
  </si>
  <si>
    <t xml:space="preserve">  农村综合改革</t>
  </si>
  <si>
    <t xml:space="preserve">    2130701</t>
  </si>
  <si>
    <t xml:space="preserve">    对村级公益事业建设的补助</t>
  </si>
  <si>
    <t>“一事一议”县级配套768万元；上级2020年农村综合改革资金1300万元；</t>
  </si>
  <si>
    <t xml:space="preserve">    2130705</t>
  </si>
  <si>
    <t xml:space="preserve">    对村民委员会和村党支部的补助</t>
  </si>
  <si>
    <t xml:space="preserve">  21308</t>
  </si>
  <si>
    <t xml:space="preserve">  普惠金融发展支出</t>
  </si>
  <si>
    <t xml:space="preserve">    2130801</t>
  </si>
  <si>
    <t xml:space="preserve">    支持农村金融机构</t>
  </si>
  <si>
    <t>上级专款结余支出9.53万元；</t>
  </si>
  <si>
    <t xml:space="preserve">    2130803</t>
  </si>
  <si>
    <t xml:space="preserve">    农业保险保费补贴</t>
  </si>
  <si>
    <t>政策性农业保险保费补贴100万元；上级政策性农业保险保费补贴资金2000万元；上级专款结余支出83万元；上级专款结余支出5.58万元；</t>
  </si>
  <si>
    <t xml:space="preserve">    2130804</t>
  </si>
  <si>
    <t xml:space="preserve">    创业担保贷款贴息</t>
  </si>
  <si>
    <t>上级创业担保贷款贴息资金150万元；上级专款结余支出10.29万元；上级专款结余支出3万元；上级专款结余支出56.22万元；</t>
  </si>
  <si>
    <t xml:space="preserve">  21366</t>
  </si>
  <si>
    <t xml:space="preserve">  大中型水库库区基金安排的支出</t>
  </si>
  <si>
    <t xml:space="preserve">    2136601</t>
  </si>
  <si>
    <t xml:space="preserve">    基础设施建设和经济发展</t>
  </si>
  <si>
    <t>上级专款结余支出45万元；</t>
  </si>
  <si>
    <t xml:space="preserve">  21399</t>
  </si>
  <si>
    <t xml:space="preserve">  其他农林水支出</t>
  </si>
  <si>
    <t xml:space="preserve">    2139999</t>
  </si>
  <si>
    <t xml:space="preserve">    其他农林水支出</t>
  </si>
  <si>
    <t>党支部组织生活经费0.06万元；干捞水电站移民安置工作经费2万元；库区维稳工作经费5万元；水库移民后期扶持政策实施工作经费3万元；水库移民项目前期工作经费14万元；县城2个安置区工作经费12.79万元；</t>
  </si>
  <si>
    <t>矿产品交易管理中心</t>
  </si>
  <si>
    <t>人员经149万元；执法工作经费18.55万元；</t>
  </si>
  <si>
    <t>涉农工作经费96万元；上级土地指标跨省域调剂收入安排支出9870万元；</t>
  </si>
  <si>
    <t>214</t>
  </si>
  <si>
    <t>交通运输支出</t>
  </si>
  <si>
    <t xml:space="preserve">  21401</t>
  </si>
  <si>
    <t xml:space="preserve">  公路水路运输</t>
  </si>
  <si>
    <t xml:space="preserve">    2140101</t>
  </si>
  <si>
    <t xml:space="preserve">    行政运行（公路水路运输）</t>
  </si>
  <si>
    <t>2021县乡公路建设业务工作费54.4万元；</t>
  </si>
  <si>
    <t xml:space="preserve">    2140104</t>
  </si>
  <si>
    <t xml:space="preserve">    公路建设</t>
  </si>
  <si>
    <t>上级“四建一通”工程项目补助2000万元；上级交通统筹整合涉农资金950万元；上级乡村振兴项目补助（公路建设）1000万元；</t>
  </si>
  <si>
    <t>上级专款结余支出1000万元；</t>
  </si>
  <si>
    <t xml:space="preserve">    2140106</t>
  </si>
  <si>
    <t xml:space="preserve">    公路养护</t>
  </si>
  <si>
    <t>2021年村道安防工程测设费26.42万元；2021年农村公路养护费79.54万元；2021年县乡联网监理费16万元；公路小修保养费68万元；水毁抢修经费80万元；</t>
  </si>
  <si>
    <t xml:space="preserve">    2140112</t>
  </si>
  <si>
    <t xml:space="preserve">    公路运输管理</t>
  </si>
  <si>
    <t>党组织活动经费0.18万元；公共交通运营补助费7.2万元；新增公交线路补贴14.4万元；执法业务工作费32万元；</t>
  </si>
  <si>
    <t xml:space="preserve">  21404</t>
  </si>
  <si>
    <t xml:space="preserve">  成品油价格改革对交通运输的补贴</t>
  </si>
  <si>
    <t xml:space="preserve">    2140402</t>
  </si>
  <si>
    <t xml:space="preserve">    对农村道路客运的补贴</t>
  </si>
  <si>
    <t>建制村通客车运营经费32.8万元；</t>
  </si>
  <si>
    <t xml:space="preserve">    2140499</t>
  </si>
  <si>
    <t xml:space="preserve">    成品油价格改革补贴其他支出</t>
  </si>
  <si>
    <t>上级成品油价格改革对交通运输的补贴300万元；</t>
  </si>
  <si>
    <t>上级成品油税费改革转移支付增量资金681万元；</t>
  </si>
  <si>
    <t xml:space="preserve">  21499</t>
  </si>
  <si>
    <t xml:space="preserve">  其他交通运输支出</t>
  </si>
  <si>
    <t xml:space="preserve">    2149901</t>
  </si>
  <si>
    <t xml:space="preserve">    公共交通运营补助</t>
  </si>
  <si>
    <t>公交补贴30万元；</t>
  </si>
  <si>
    <t>215</t>
  </si>
  <si>
    <t>资源勘探工业信息等支出</t>
  </si>
  <si>
    <t xml:space="preserve">  21501</t>
  </si>
  <si>
    <t xml:space="preserve">  资源勘探开发</t>
  </si>
  <si>
    <t xml:space="preserve">    2150104</t>
  </si>
  <si>
    <t xml:space="preserve">    煤炭勘探开采和洗选</t>
  </si>
  <si>
    <t>煤炭公司</t>
  </si>
  <si>
    <t xml:space="preserve">    2150199</t>
  </si>
  <si>
    <t xml:space="preserve">    其他资源勘探业支出</t>
  </si>
  <si>
    <t>党支部组织生活经费0.36万元；管理处门面及基础设施维修工程5万元；红安、红阳社区公共设施日常管理经费5万元；经常性费用27.23万元；聘用环卫工资及环卫支出36万元；</t>
  </si>
  <si>
    <t xml:space="preserve">  21502</t>
  </si>
  <si>
    <t xml:space="preserve">  制造业</t>
  </si>
  <si>
    <t xml:space="preserve">    2150201</t>
  </si>
  <si>
    <t xml:space="preserve">    行政运行（制造业）</t>
  </si>
  <si>
    <t>办公经费1.44万元；党报、党刊费用0.36万元；党支部组织生活经费0.14万元；房屋维修费用0.72万元；工艺美术培训班费用0.36万元；工艺美术展费用1.44万元；工艺品普查费用0.4万元；环境倒逼、烟花爆竹检查费用0.72万元；宽带网络费用0.58万元；学习考察费用0.72万元；</t>
  </si>
  <si>
    <t xml:space="preserve">  21508</t>
  </si>
  <si>
    <t xml:space="preserve">  支持中小企业发展和管理支出</t>
  </si>
  <si>
    <t xml:space="preserve">    2150899</t>
  </si>
  <si>
    <t xml:space="preserve">    其他支持中小企业发展和管理支出</t>
  </si>
  <si>
    <t>上级支持中小微企业到位贫困地区发展补助资金380万元；</t>
  </si>
  <si>
    <t>216</t>
  </si>
  <si>
    <t>商业服务业等支出</t>
  </si>
  <si>
    <t xml:space="preserve">  21602</t>
  </si>
  <si>
    <t xml:space="preserve">  商业流通事务</t>
  </si>
  <si>
    <t xml:space="preserve">    2160219</t>
  </si>
  <si>
    <t xml:space="preserve">    民贸民品贷款贴息</t>
  </si>
  <si>
    <t>上级民贸民品生产贷款贴息资金800万元。</t>
  </si>
  <si>
    <t xml:space="preserve">    2160250</t>
  </si>
  <si>
    <t xml:space="preserve">    事业运行（商业流通事务）</t>
  </si>
  <si>
    <t>会议费1.26万元；培训费1.6万元；</t>
  </si>
  <si>
    <t xml:space="preserve">    2160299</t>
  </si>
  <si>
    <t xml:space="preserve">    其他商业流通事务支出</t>
  </si>
  <si>
    <t>办公设备购置1.6万元；</t>
  </si>
  <si>
    <t xml:space="preserve">  21699</t>
  </si>
  <si>
    <t xml:space="preserve">  其他商业服务业等支出</t>
  </si>
  <si>
    <t xml:space="preserve">    2169999</t>
  </si>
  <si>
    <t xml:space="preserve">    其他商业服务业等支出</t>
  </si>
  <si>
    <t>党支部组织生活经费0.11万元；工作经费5.67万元；供销社综合改革经费35万元</t>
  </si>
  <si>
    <t>217</t>
  </si>
  <si>
    <t>金融支出</t>
  </si>
  <si>
    <t xml:space="preserve">  21799</t>
  </si>
  <si>
    <t xml:space="preserve">  其他金融支出</t>
  </si>
  <si>
    <t xml:space="preserve">    2179999</t>
  </si>
  <si>
    <t xml:space="preserve">    其他金融支出</t>
  </si>
  <si>
    <t>融资担保风险分担资金605万元；世行贷款还款504万元；农村金融改革经费10万元。</t>
  </si>
  <si>
    <t>220</t>
  </si>
  <si>
    <t>自然资源海洋气象等支出</t>
  </si>
  <si>
    <t xml:space="preserve">  22001</t>
  </si>
  <si>
    <t xml:space="preserve">  自然资源事务</t>
  </si>
  <si>
    <t xml:space="preserve">    2200101</t>
  </si>
  <si>
    <t xml:space="preserve">    行政运行（自然资源事务）</t>
  </si>
  <si>
    <t xml:space="preserve">    2200106</t>
  </si>
  <si>
    <t xml:space="preserve">    自然资源利用与保护</t>
  </si>
  <si>
    <t>土地资源利用与保护工作经费16万元；</t>
  </si>
  <si>
    <t xml:space="preserve">    2200108</t>
  </si>
  <si>
    <t xml:space="preserve">    自然资源行业业务管理</t>
  </si>
  <si>
    <t>土地执法监察经费17.6万元；</t>
  </si>
  <si>
    <t xml:space="preserve">    2200114</t>
  </si>
  <si>
    <t xml:space="preserve">    地质勘查与矿产资源管理</t>
  </si>
  <si>
    <t>地质灾害防治及矿产资源管理经费8万元；</t>
  </si>
  <si>
    <t xml:space="preserve">    2200150</t>
  </si>
  <si>
    <t xml:space="preserve">    事业运行（自然资源事务）</t>
  </si>
  <si>
    <t xml:space="preserve">    2200199</t>
  </si>
  <si>
    <t xml:space="preserve">    其他自然资源事务支出</t>
  </si>
  <si>
    <t>不动产登记及地籍调查经费14.4万元；党员活动经费0.47万元；全县第三次土地调查160万元；</t>
  </si>
  <si>
    <t xml:space="preserve">  22005</t>
  </si>
  <si>
    <t xml:space="preserve">  气象事务</t>
  </si>
  <si>
    <t xml:space="preserve">    2200509</t>
  </si>
  <si>
    <t xml:space="preserve">    气象服务</t>
  </si>
  <si>
    <t>气象局</t>
  </si>
  <si>
    <t>人工影响天气作业经费20.04万元；事业编制人员绩效工资8.66万元；自动气象监测站网络运行维护费4万元；</t>
  </si>
  <si>
    <t>221</t>
  </si>
  <si>
    <t>住房保障支出</t>
  </si>
  <si>
    <t xml:space="preserve">  22101</t>
  </si>
  <si>
    <t xml:space="preserve">  保障性安居工程支出</t>
  </si>
  <si>
    <t xml:space="preserve">    2210105</t>
  </si>
  <si>
    <t xml:space="preserve">    农村危房改造</t>
  </si>
  <si>
    <t>上级农村危房改造中央和自治区补助资金1980万元；</t>
  </si>
  <si>
    <t xml:space="preserve">  22102</t>
  </si>
  <si>
    <t xml:space="preserve">  住房改革支出</t>
  </si>
  <si>
    <t xml:space="preserve">    2210201</t>
  </si>
  <si>
    <t xml:space="preserve">    住房公积金</t>
  </si>
  <si>
    <t xml:space="preserve">  22103</t>
  </si>
  <si>
    <t xml:space="preserve">  城乡社区住宅</t>
  </si>
  <si>
    <t xml:space="preserve">    2210399</t>
  </si>
  <si>
    <t xml:space="preserve">    其他城乡社区住宅支出</t>
  </si>
  <si>
    <t>房管所工作经费5.88万元；</t>
  </si>
  <si>
    <t>222</t>
  </si>
  <si>
    <t>粮油物资储备支出</t>
  </si>
  <si>
    <t xml:space="preserve">  22201</t>
  </si>
  <si>
    <t xml:space="preserve">  粮油物资事务</t>
  </si>
  <si>
    <t xml:space="preserve">    2220102</t>
  </si>
  <si>
    <t xml:space="preserve">    一般行政管理事务（粮油物资事务）</t>
  </si>
  <si>
    <t>春秋两季储备粮安全普查经费2.16万元；</t>
  </si>
  <si>
    <t xml:space="preserve">    2220105</t>
  </si>
  <si>
    <t xml:space="preserve">    信息统计</t>
  </si>
  <si>
    <t>粮食信息统计社会调查费1.6万元；</t>
  </si>
  <si>
    <t xml:space="preserve">    2220106</t>
  </si>
  <si>
    <t xml:space="preserve">    专项业务活动</t>
  </si>
  <si>
    <t>粮食订单收购直补工作经费2.4万元；粮食执法业务工作经费2.78万元；</t>
  </si>
  <si>
    <t xml:space="preserve">    2220121</t>
  </si>
  <si>
    <t xml:space="preserve">    物资保管保养</t>
  </si>
  <si>
    <t>物资储备工作经费4万元；</t>
  </si>
  <si>
    <t xml:space="preserve">    2220150</t>
  </si>
  <si>
    <t xml:space="preserve">    事业运行（粮油物资事务）</t>
  </si>
  <si>
    <t xml:space="preserve">    2220199</t>
  </si>
  <si>
    <t xml:space="preserve">    其他粮油物资事务支出</t>
  </si>
  <si>
    <t>粮食仓库维修费7.2万元；水源林粮补贴58.68万元；</t>
  </si>
  <si>
    <t xml:space="preserve">  22205</t>
  </si>
  <si>
    <t xml:space="preserve">  重要商品储备</t>
  </si>
  <si>
    <t xml:space="preserve">    2220502</t>
  </si>
  <si>
    <t xml:space="preserve">    食糖储备</t>
  </si>
  <si>
    <t>上级专款结余支出58.73万元；</t>
  </si>
  <si>
    <t>223</t>
  </si>
  <si>
    <t>国有资本经营预算支出</t>
  </si>
  <si>
    <t xml:space="preserve">  22301</t>
  </si>
  <si>
    <t xml:space="preserve">  解决历史遗留问题及改革成本支出</t>
  </si>
  <si>
    <t xml:space="preserve">    2230105</t>
  </si>
  <si>
    <t xml:space="preserve">    国有企业退休人员社会化管理补助支出</t>
  </si>
  <si>
    <t>上级中央国有企业退休人员社会化管理财政补助资金3.58万元；</t>
  </si>
  <si>
    <t>224</t>
  </si>
  <si>
    <t>灾害防治及应急管理支出</t>
  </si>
  <si>
    <t xml:space="preserve">  22401</t>
  </si>
  <si>
    <t xml:space="preserve">  应急管理事务</t>
  </si>
  <si>
    <t xml:space="preserve">    2240101</t>
  </si>
  <si>
    <t xml:space="preserve">    行政运行（应急管理事务）</t>
  </si>
  <si>
    <t xml:space="preserve">    2240102</t>
  </si>
  <si>
    <t xml:space="preserve">    一般行政管理事务（应急管理事务）</t>
  </si>
  <si>
    <t>防汛抗旱专项工作经费14.4万元；综合应急指挥中心工作经费5.6万元；</t>
  </si>
  <si>
    <t xml:space="preserve">    2240103</t>
  </si>
  <si>
    <t xml:space="preserve">    机关服务（应急管理事务）</t>
  </si>
  <si>
    <t>党支部组织生活经费0.18万元；</t>
  </si>
  <si>
    <t xml:space="preserve">    2240106</t>
  </si>
  <si>
    <t xml:space="preserve">    安全监管</t>
  </si>
  <si>
    <t>安全监督监察专项经费6.4万元；安全生产监管人员聘用经费22万元；安全生产委员会办公室办公经费3.2万元；安全生产月活动经费3.86万元；安全生产执法监察大队工作经费3.2万元；聘请安全生产专家检查、评审经费33.6万元；</t>
  </si>
  <si>
    <t xml:space="preserve">    2240109</t>
  </si>
  <si>
    <t xml:space="preserve">    应急管理</t>
  </si>
  <si>
    <t>应急救援专项工作经费13.52万元；</t>
  </si>
  <si>
    <t xml:space="preserve">  22402</t>
  </si>
  <si>
    <t xml:space="preserve">  消防事务</t>
  </si>
  <si>
    <t xml:space="preserve">    2240204</t>
  </si>
  <si>
    <t xml:space="preserve">    消防应急救援</t>
  </si>
  <si>
    <t>消防大队</t>
  </si>
  <si>
    <t>车辆维护费36.02万元；国家综合性消防队人员公用经费39.98万元；国家综合性消防队人员体检费3万元；国家综合性消防队人员意外险5.49万元；灭火药剂和常用器材储备费10万元；消防信息网络运行费4万元；消防宣传费4万元；消防装备器材维护管理费6万元；训练费19.92万元；政府专职消防队公用经费80.86万元；政府专职消防队人员工资233.39万元；政府专职消防队人员社会保障缴费81.8万元；政府专职消防队人员意外险13.54万元；执法办案费10万元；</t>
  </si>
  <si>
    <t xml:space="preserve">  22403</t>
  </si>
  <si>
    <t xml:space="preserve">  森林消防事务</t>
  </si>
  <si>
    <t xml:space="preserve">    2240302</t>
  </si>
  <si>
    <t xml:space="preserve">    一般行政管理事务（森林消防事务）</t>
  </si>
  <si>
    <t>森林防灭火专项工作经费14.4万元；</t>
  </si>
  <si>
    <t xml:space="preserve">    2240304</t>
  </si>
  <si>
    <t xml:space="preserve">    森林消防应急救援</t>
  </si>
  <si>
    <t xml:space="preserve">  22405</t>
  </si>
  <si>
    <t xml:space="preserve">  地震事务</t>
  </si>
  <si>
    <t xml:space="preserve">    2240501</t>
  </si>
  <si>
    <t xml:space="preserve">    行政运行（地震事务）</t>
  </si>
  <si>
    <t xml:space="preserve">    2240504</t>
  </si>
  <si>
    <t xml:space="preserve">    地震监测</t>
  </si>
  <si>
    <t>广西地震烈度速报与预警系统项目台站运行5.4万元；</t>
  </si>
  <si>
    <t xml:space="preserve">    2240505</t>
  </si>
  <si>
    <t xml:space="preserve">    地震预测预报</t>
  </si>
  <si>
    <t>地震预测预报4.81万元；</t>
  </si>
  <si>
    <t xml:space="preserve">    2240506</t>
  </si>
  <si>
    <t xml:space="preserve">    地震灾害预防</t>
  </si>
  <si>
    <t>广西地震背景场观测网络项目运行3万元；</t>
  </si>
  <si>
    <t xml:space="preserve">    2240510</t>
  </si>
  <si>
    <t xml:space="preserve">    防震减灾基础管理</t>
  </si>
  <si>
    <t>防震减灾基础管理3万元；</t>
  </si>
  <si>
    <t xml:space="preserve">    2240599</t>
  </si>
  <si>
    <t xml:space="preserve">    其他地震事务支出</t>
  </si>
  <si>
    <t>党员活动经费0.04万元；</t>
  </si>
  <si>
    <t xml:space="preserve">  22406</t>
  </si>
  <si>
    <t xml:space="preserve">  自然灾害防治</t>
  </si>
  <si>
    <t xml:space="preserve">    2240699</t>
  </si>
  <si>
    <t xml:space="preserve">    其他自然灾害防治支出</t>
  </si>
  <si>
    <t>全县农房自然灾害保险20万元；</t>
  </si>
  <si>
    <t xml:space="preserve">  22407</t>
  </si>
  <si>
    <t xml:space="preserve">  自然灾害救灾及恢复重建支出</t>
  </si>
  <si>
    <t xml:space="preserve">    2240799</t>
  </si>
  <si>
    <t xml:space="preserve">    其他自然灾害救灾及恢复重建支出</t>
  </si>
  <si>
    <t>自然灾害县级配套经费1.6万元；</t>
  </si>
  <si>
    <t>227</t>
  </si>
  <si>
    <t>预备费</t>
  </si>
  <si>
    <t xml:space="preserve">  227</t>
  </si>
  <si>
    <t xml:space="preserve">  预备费</t>
  </si>
  <si>
    <t xml:space="preserve">    227</t>
  </si>
  <si>
    <t xml:space="preserve">    预备费</t>
  </si>
  <si>
    <t>预备费2300万元；</t>
  </si>
  <si>
    <t>229</t>
  </si>
  <si>
    <t>其他支出</t>
  </si>
  <si>
    <t xml:space="preserve">  22902</t>
  </si>
  <si>
    <t xml:space="preserve">  年初预留</t>
  </si>
  <si>
    <t xml:space="preserve">    22902</t>
  </si>
  <si>
    <t xml:space="preserve">    年初预留</t>
  </si>
  <si>
    <t>正常调资1000万元，遗嘱补助和抚恤金800万元，离退休生活补助62万元，伙食补助2538万元。</t>
  </si>
  <si>
    <t xml:space="preserve">  22999</t>
  </si>
  <si>
    <t xml:space="preserve">  其他支出</t>
  </si>
  <si>
    <t xml:space="preserve">    2299999</t>
  </si>
  <si>
    <t xml:space="preserve">    其他支出</t>
  </si>
  <si>
    <t>财税部门征收工作经费350万元；春节慰问经费300万元；化解财政垫支1500万元；项目前期费2500万元；预留绩效考评奖12421万元；上级专款结余支出2635.12万元；</t>
  </si>
  <si>
    <t>230</t>
  </si>
  <si>
    <t xml:space="preserve">  23002</t>
  </si>
  <si>
    <t xml:space="preserve">  一般性转移支付</t>
  </si>
  <si>
    <t xml:space="preserve">    2300299</t>
  </si>
  <si>
    <t xml:space="preserve">    其他一般性转移支付支出</t>
  </si>
  <si>
    <t>上级自治区补助市县广电项目资金18.1万元；</t>
  </si>
  <si>
    <t xml:space="preserve">  23003</t>
  </si>
  <si>
    <t xml:space="preserve">  专项转移支付</t>
  </si>
  <si>
    <t xml:space="preserve">    2300304</t>
  </si>
  <si>
    <t xml:space="preserve">    公共安全</t>
  </si>
  <si>
    <t>上级自治区补助市县广播电视电影资金4.7万元；</t>
  </si>
  <si>
    <t>232</t>
  </si>
  <si>
    <t>债务付息支出</t>
  </si>
  <si>
    <t xml:space="preserve">  23203</t>
  </si>
  <si>
    <t xml:space="preserve">  地方政府一般债务付息支出</t>
  </si>
  <si>
    <t xml:space="preserve">    2320301</t>
  </si>
  <si>
    <t xml:space="preserve">    地方政府一般债券付息支出</t>
  </si>
  <si>
    <t>地方政府债券付息6171万元；</t>
  </si>
  <si>
    <t>附件：5</t>
  </si>
  <si>
    <t>政府经济科目支出表</t>
  </si>
  <si>
    <t>经济科目</t>
  </si>
  <si>
    <t>经济科目名称</t>
  </si>
  <si>
    <t>501</t>
  </si>
  <si>
    <t>机关工资福利支出</t>
  </si>
  <si>
    <t xml:space="preserve">  50101</t>
  </si>
  <si>
    <t xml:space="preserve">  工资奖金津补贴</t>
  </si>
  <si>
    <t xml:space="preserve">  50102</t>
  </si>
  <si>
    <t xml:space="preserve">  社会保障缴费</t>
  </si>
  <si>
    <t xml:space="preserve">  50103</t>
  </si>
  <si>
    <t xml:space="preserve">  住房公积金</t>
  </si>
  <si>
    <t xml:space="preserve">  50199</t>
  </si>
  <si>
    <t xml:space="preserve">  其他工资福利支出</t>
  </si>
  <si>
    <t>502</t>
  </si>
  <si>
    <t>机关商品和服务支出</t>
  </si>
  <si>
    <t xml:space="preserve">  50201</t>
  </si>
  <si>
    <t xml:space="preserve">  办公经费</t>
  </si>
  <si>
    <t xml:space="preserve">  50202</t>
  </si>
  <si>
    <t xml:space="preserve">  会议费</t>
  </si>
  <si>
    <t xml:space="preserve">  50203</t>
  </si>
  <si>
    <t xml:space="preserve">  培训费</t>
  </si>
  <si>
    <t xml:space="preserve">  50204</t>
  </si>
  <si>
    <t xml:space="preserve">  专用材料购置费</t>
  </si>
  <si>
    <t xml:space="preserve">  50205</t>
  </si>
  <si>
    <t xml:space="preserve">  委托业务费</t>
  </si>
  <si>
    <t xml:space="preserve">  50206</t>
  </si>
  <si>
    <t xml:space="preserve">  公务接待费</t>
  </si>
  <si>
    <t xml:space="preserve">  50207</t>
  </si>
  <si>
    <t xml:space="preserve">  因公出国（境）费用</t>
  </si>
  <si>
    <t xml:space="preserve">  50208</t>
  </si>
  <si>
    <t xml:space="preserve">  公务用车运行维护费</t>
  </si>
  <si>
    <t xml:space="preserve">  50209</t>
  </si>
  <si>
    <t xml:space="preserve">  维修（护）费</t>
  </si>
  <si>
    <t xml:space="preserve">  50299</t>
  </si>
  <si>
    <t xml:space="preserve">  其他商品和服务支出</t>
  </si>
  <si>
    <t>503</t>
  </si>
  <si>
    <t>机关资本性支出（一）</t>
  </si>
  <si>
    <t xml:space="preserve">  50301</t>
  </si>
  <si>
    <t xml:space="preserve">  房屋建筑物购建</t>
  </si>
  <si>
    <t xml:space="preserve">  50302</t>
  </si>
  <si>
    <t xml:space="preserve">  基础设施建设</t>
  </si>
  <si>
    <t xml:space="preserve">  50303</t>
  </si>
  <si>
    <t xml:space="preserve">  公务用车购置</t>
  </si>
  <si>
    <t xml:space="preserve">  50305</t>
  </si>
  <si>
    <t xml:space="preserve">  土地征迁补偿和安置支出</t>
  </si>
  <si>
    <t xml:space="preserve">  50306</t>
  </si>
  <si>
    <t xml:space="preserve">  设备购置</t>
  </si>
  <si>
    <t xml:space="preserve">  50307</t>
  </si>
  <si>
    <t xml:space="preserve">  大型修缮</t>
  </si>
  <si>
    <t xml:space="preserve">  50399</t>
  </si>
  <si>
    <t xml:space="preserve">  其他资本性支出</t>
  </si>
  <si>
    <t>504</t>
  </si>
  <si>
    <t>机关资本性支出（二）</t>
  </si>
  <si>
    <t xml:space="preserve">  50401</t>
  </si>
  <si>
    <t xml:space="preserve">  50402</t>
  </si>
  <si>
    <t xml:space="preserve">  50403</t>
  </si>
  <si>
    <t xml:space="preserve">  50404</t>
  </si>
  <si>
    <t xml:space="preserve">  50405</t>
  </si>
  <si>
    <t xml:space="preserve">  50499</t>
  </si>
  <si>
    <t>505</t>
  </si>
  <si>
    <t>对事业单位经常性补助</t>
  </si>
  <si>
    <t xml:space="preserve">  50501</t>
  </si>
  <si>
    <t xml:space="preserve">  工资福利支出</t>
  </si>
  <si>
    <t xml:space="preserve">  50502</t>
  </si>
  <si>
    <t xml:space="preserve">  商品和服务支出</t>
  </si>
  <si>
    <t xml:space="preserve">  50599</t>
  </si>
  <si>
    <t xml:space="preserve">  其他对事业单位补助</t>
  </si>
  <si>
    <t>506</t>
  </si>
  <si>
    <t>对事业单位资本性补助</t>
  </si>
  <si>
    <t xml:space="preserve">  50601</t>
  </si>
  <si>
    <t xml:space="preserve">  资本性支出（一）</t>
  </si>
  <si>
    <t xml:space="preserve">  50602</t>
  </si>
  <si>
    <t xml:space="preserve">  资本性支出（二）</t>
  </si>
  <si>
    <t>507</t>
  </si>
  <si>
    <t>对企业补助</t>
  </si>
  <si>
    <t xml:space="preserve">  50701</t>
  </si>
  <si>
    <t xml:space="preserve">  费用补贴</t>
  </si>
  <si>
    <t xml:space="preserve">  50702</t>
  </si>
  <si>
    <t xml:space="preserve">  利息补贴</t>
  </si>
  <si>
    <t xml:space="preserve">  50799</t>
  </si>
  <si>
    <t xml:space="preserve">  其他对企业补助</t>
  </si>
  <si>
    <t>508</t>
  </si>
  <si>
    <t>对企业资本性支出</t>
  </si>
  <si>
    <t xml:space="preserve">  50801</t>
  </si>
  <si>
    <t xml:space="preserve">  对企业资本性支出（一）</t>
  </si>
  <si>
    <t xml:space="preserve">  50802</t>
  </si>
  <si>
    <t xml:space="preserve">  对企业资本性支出（二）</t>
  </si>
  <si>
    <t>509</t>
  </si>
  <si>
    <t>对个人和家庭的补助</t>
  </si>
  <si>
    <t xml:space="preserve">  50901</t>
  </si>
  <si>
    <t xml:space="preserve">  社会福利和救助</t>
  </si>
  <si>
    <t xml:space="preserve">  50902</t>
  </si>
  <si>
    <t xml:space="preserve">  助学金</t>
  </si>
  <si>
    <t xml:space="preserve">  50903</t>
  </si>
  <si>
    <t xml:space="preserve">  个人农业生产补贴</t>
  </si>
  <si>
    <t xml:space="preserve">  50905</t>
  </si>
  <si>
    <t xml:space="preserve">  离退休费</t>
  </si>
  <si>
    <t xml:space="preserve">  50999</t>
  </si>
  <si>
    <t xml:space="preserve">  其他对个人和家庭补助</t>
  </si>
  <si>
    <t>510</t>
  </si>
  <si>
    <t>对社会保障基金补助</t>
  </si>
  <si>
    <t xml:space="preserve">  51002</t>
  </si>
  <si>
    <t xml:space="preserve">  对社会保险基金补助</t>
  </si>
  <si>
    <t xml:space="preserve">  51003</t>
  </si>
  <si>
    <t xml:space="preserve">  补充全国社会保障基金</t>
  </si>
  <si>
    <t xml:space="preserve">  51004</t>
  </si>
  <si>
    <t xml:space="preserve">  对机关事业单位职业年金的补助</t>
  </si>
  <si>
    <t>511</t>
  </si>
  <si>
    <t>债务利息及费用支出</t>
  </si>
  <si>
    <t xml:space="preserve">  51101</t>
  </si>
  <si>
    <t xml:space="preserve">  国内债务付息</t>
  </si>
  <si>
    <t xml:space="preserve">  51102</t>
  </si>
  <si>
    <t xml:space="preserve">  国外债务付息</t>
  </si>
  <si>
    <t xml:space="preserve">  51103</t>
  </si>
  <si>
    <t xml:space="preserve">  国内债务发行费用</t>
  </si>
  <si>
    <t xml:space="preserve">  51104</t>
  </si>
  <si>
    <t xml:space="preserve">  国外债务发行费用</t>
  </si>
  <si>
    <t>512</t>
  </si>
  <si>
    <t>债务还本支出</t>
  </si>
  <si>
    <t xml:space="preserve">  51201</t>
  </si>
  <si>
    <t xml:space="preserve">  国内债务还本</t>
  </si>
  <si>
    <t xml:space="preserve">  51202</t>
  </si>
  <si>
    <t xml:space="preserve">  国外债务还本</t>
  </si>
  <si>
    <t>513</t>
  </si>
  <si>
    <t xml:space="preserve">  51301</t>
  </si>
  <si>
    <t xml:space="preserve">  上下级政府间转移性支出</t>
  </si>
  <si>
    <t xml:space="preserve">  51302</t>
  </si>
  <si>
    <t xml:space="preserve">  援助其他地区支出</t>
  </si>
  <si>
    <t xml:space="preserve">  51303</t>
  </si>
  <si>
    <t xml:space="preserve">  债务转贷</t>
  </si>
  <si>
    <t xml:space="preserve">  51304</t>
  </si>
  <si>
    <t xml:space="preserve">  调出资金</t>
  </si>
  <si>
    <t>514</t>
  </si>
  <si>
    <t>预备费及预留</t>
  </si>
  <si>
    <t xml:space="preserve">  51401</t>
  </si>
  <si>
    <t xml:space="preserve">  51402</t>
  </si>
  <si>
    <t xml:space="preserve">  预留</t>
  </si>
  <si>
    <t>599</t>
  </si>
  <si>
    <t xml:space="preserve">  59906</t>
  </si>
  <si>
    <t xml:space="preserve">  赠与</t>
  </si>
  <si>
    <t xml:space="preserve">  59907</t>
  </si>
  <si>
    <t xml:space="preserve">  国家赔偿费用支出</t>
  </si>
  <si>
    <t xml:space="preserve">  59908</t>
  </si>
  <si>
    <t xml:space="preserve">  对民间非营利组织和群众性自治组织补贴</t>
  </si>
  <si>
    <t xml:space="preserve">  59999</t>
  </si>
  <si>
    <t>附件6</t>
  </si>
  <si>
    <t>环江毛南族自治县2021年政府性基金预算收入表（草案）</t>
  </si>
  <si>
    <t>年初预算数</t>
  </si>
  <si>
    <t>调整预算数</t>
  </si>
  <si>
    <t>完成数</t>
  </si>
  <si>
    <t>完成年初预算</t>
  </si>
  <si>
    <t>完成调整预算</t>
  </si>
  <si>
    <t>2019年完成数</t>
  </si>
  <si>
    <t>比2020完成数增减</t>
  </si>
  <si>
    <t>增减幅</t>
  </si>
  <si>
    <t>1.农网还贷资金收入</t>
  </si>
  <si>
    <t>2.铁路建设基金收入</t>
  </si>
  <si>
    <t>3.民航发展基金收入</t>
  </si>
  <si>
    <t>4.港口建设费收入</t>
  </si>
  <si>
    <t>1.旅游发展基金收入</t>
  </si>
  <si>
    <t>2.国家电影事业发展专项资金收入</t>
  </si>
  <si>
    <t>3.国有土地收益基金收入</t>
  </si>
  <si>
    <t>4.农业土地开发资金收入</t>
  </si>
  <si>
    <t>5.国有土地使用权出让收入</t>
  </si>
  <si>
    <t>6.大中型水库移民后期扶持基金收入</t>
  </si>
  <si>
    <t>7.大中型水库库区基金收入</t>
  </si>
  <si>
    <t>8.彩票公益金收入</t>
  </si>
  <si>
    <t>9.城市基础设施配套费收入</t>
  </si>
  <si>
    <t>10.小型水库移民扶助基金收入</t>
  </si>
  <si>
    <t>15.国家重大水利工程建设基金收入</t>
  </si>
  <si>
    <t>16.车辆通行费</t>
  </si>
  <si>
    <t>11.污水处理费收入</t>
  </si>
  <si>
    <t>12.彩票发行机构和彩票销售机构的业务费用</t>
  </si>
  <si>
    <t>13.其他政府性基金收入</t>
  </si>
  <si>
    <t>14.专项债券对应项目专项收入</t>
  </si>
  <si>
    <t>收  入  合  计</t>
  </si>
  <si>
    <t>转移性收入</t>
  </si>
  <si>
    <t xml:space="preserve">    政府性基金转移收入</t>
  </si>
  <si>
    <t xml:space="preserve">    　政府性基金补助收入</t>
  </si>
  <si>
    <t xml:space="preserve">    　政府性基金上解收入</t>
  </si>
  <si>
    <t xml:space="preserve">    上年结余收入</t>
  </si>
  <si>
    <t xml:space="preserve">    调入资金</t>
  </si>
  <si>
    <t xml:space="preserve">    债务转贷收入</t>
  </si>
  <si>
    <t xml:space="preserve">        国有土地使用权出让金债务转贷收入</t>
  </si>
  <si>
    <t xml:space="preserve">        </t>
  </si>
  <si>
    <t>附件7</t>
  </si>
  <si>
    <t>环江毛南族自治县2021年政府性基金预算支出表（草案）</t>
  </si>
  <si>
    <t>年度预算数</t>
  </si>
  <si>
    <t>完成年初
预算</t>
  </si>
  <si>
    <t>完成年度
预算</t>
  </si>
  <si>
    <t>2019年
完成数</t>
  </si>
  <si>
    <t>其中：</t>
  </si>
  <si>
    <t>县本级支出</t>
  </si>
  <si>
    <t>上级补助收入</t>
  </si>
  <si>
    <t>上年结转</t>
  </si>
  <si>
    <t>一、文化体育与传媒支出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</si>
  <si>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</si>
  <si>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</si>
  <si>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</si>
  <si>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</si>
  <si>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</si>
  <si>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</si>
  <si>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</si>
  <si>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</si>
  <si>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</si>
  <si>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</si>
  <si>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</si>
  <si>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</si>
  <si>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</si>
  <si>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其他国家电影事业发展专项资金对应专项债务收入安排的支出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</si>
  <si>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</si>
  <si>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</si>
  <si>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</si>
  <si>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</si>
  <si>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</si>
  <si>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</si>
  <si>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</si>
  <si>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</si>
  <si>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</si>
  <si>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三、节能环保支出</t>
  </si>
  <si>
    <t>四、城乡社区支出</t>
  </si>
  <si>
    <t xml:space="preserve">   国有土地使用权出让收入及对应专项债务收入安排的支出</t>
  </si>
  <si>
    <t xml:space="preserve">  城市基础设施配套安排的支出</t>
  </si>
  <si>
    <t xml:space="preserve">  国有土地收益基金及对应专项债务收入安排的支出</t>
  </si>
  <si>
    <t xml:space="preserve">   农业土地开发资金及对应专项债务收入安排的支出</t>
  </si>
  <si>
    <t xml:space="preserve">   城市基础设施配套费及对应专项债务收入安排的支出</t>
  </si>
  <si>
    <t xml:space="preserve">   污水处理费安排的支出</t>
  </si>
  <si>
    <t xml:space="preserve">   土地储备专项债务收入安排的支出</t>
  </si>
  <si>
    <t>100%%</t>
  </si>
  <si>
    <t>　    征地和拆迁补偿支出</t>
  </si>
  <si>
    <t>　    土地开发支出</t>
  </si>
  <si>
    <t>　    其他土地储备专项债务收入安排的支出</t>
  </si>
  <si>
    <t xml:space="preserve">   棚户区改造专项债务收入安排的支出</t>
  </si>
  <si>
    <t>　    其他棚户区改造专项债务收入安排的支出</t>
  </si>
  <si>
    <t>.......</t>
  </si>
  <si>
    <t>五、农林水支出</t>
  </si>
  <si>
    <t xml:space="preserve">    大中型水库库区基金安排的支出</t>
  </si>
  <si>
    <t xml:space="preserve">    国家重大水利工程建设基金安排的支出</t>
  </si>
  <si>
    <t xml:space="preserve">    大中型水库库区基金对应专项债务收入安排的支出</t>
  </si>
  <si>
    <t xml:space="preserve">      其他大中型水库库区基金对应专项债务收入安排的支出</t>
  </si>
  <si>
    <t xml:space="preserve">    国家重大水利工程建设基金对应专项债务收入安排的支出</t>
  </si>
  <si>
    <t xml:space="preserve">      南水北调工程建设</t>
  </si>
  <si>
    <t xml:space="preserve">      三峡工程后续工作</t>
  </si>
  <si>
    <t xml:space="preserve">      地方重大水利工程建设</t>
  </si>
  <si>
    <t xml:space="preserve">      其他国家重大水利工程建设基金对应专项债务收入安排的支出</t>
  </si>
  <si>
    <t>六、交通运输支出</t>
  </si>
  <si>
    <t xml:space="preserve">    政府收费公路专项债券收入安排的支出</t>
  </si>
  <si>
    <t xml:space="preserve">       公路建设</t>
  </si>
  <si>
    <t xml:space="preserve">       其他政府收费公路专项债券收入安排的支出</t>
  </si>
  <si>
    <t xml:space="preserve">    车辆通行费对应专项债务收入安排的支出</t>
  </si>
  <si>
    <t>七、资源勘探电力信息等支出</t>
  </si>
  <si>
    <t>八、其他支出</t>
  </si>
  <si>
    <t xml:space="preserve">    其他政府性基金及对应专项债务收入安排的支出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</si>
  <si>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</si>
  <si>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</si>
  <si>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</si>
  <si>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</si>
  <si>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</si>
  <si>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用于扶贫的彩票公益金支出</t>
  </si>
  <si>
    <t xml:space="preserve">        用于城乡医疗救助的彩票公益金支出</t>
  </si>
  <si>
    <t>九、债务支息支出</t>
  </si>
  <si>
    <t xml:space="preserve">     地方政府专项债务付息支出</t>
  </si>
  <si>
    <t>十、债务发行费用支出</t>
  </si>
  <si>
    <t xml:space="preserve">     地方政府专项债务发行费用支出</t>
  </si>
  <si>
    <t xml:space="preserve">       国有土地收益基金债务发行费用支出</t>
  </si>
  <si>
    <t xml:space="preserve">       土地储备专项债券发行费用支出</t>
  </si>
  <si>
    <t xml:space="preserve">       政府收费公路专项债券发行费用支出</t>
  </si>
  <si>
    <t xml:space="preserve">       棚户区改造专项债券发行费用支出</t>
  </si>
  <si>
    <t xml:space="preserve">       其他政府性基金债务发行费用支出</t>
  </si>
  <si>
    <t>十一、抗疫特别国债安排支出</t>
  </si>
  <si>
    <t>支  出  合  计</t>
  </si>
  <si>
    <t>转移性支出及债务还本支出</t>
  </si>
  <si>
    <t xml:space="preserve"> 转移性支出</t>
  </si>
  <si>
    <t xml:space="preserve">    政府性基金转移支付</t>
  </si>
  <si>
    <t xml:space="preserve">    　政府性基金补助支出</t>
  </si>
  <si>
    <t xml:space="preserve">    　政府性基金上解支出</t>
  </si>
  <si>
    <t xml:space="preserve">    调出资金</t>
  </si>
  <si>
    <t xml:space="preserve">    年终结余</t>
  </si>
  <si>
    <t xml:space="preserve">    债务转贷支出</t>
  </si>
  <si>
    <t xml:space="preserve">   地方政府专项债务还本支出</t>
  </si>
  <si>
    <t xml:space="preserve">       国有土地使用权出让金债务还本支出</t>
  </si>
  <si>
    <t xml:space="preserve">       国有土地收益基金债务还本支出</t>
  </si>
  <si>
    <t xml:space="preserve">       土地储备专项债券还本支出</t>
  </si>
  <si>
    <t xml:space="preserve">       政府收费公路专项债券还本支出</t>
  </si>
  <si>
    <t xml:space="preserve">       棚户区改造专项债券还本支出</t>
  </si>
  <si>
    <t xml:space="preserve">       其他政府性基金债务还本支出</t>
  </si>
  <si>
    <t>附件8</t>
  </si>
  <si>
    <t>环江毛南族自治县2021年政府性基金支出明细表（草案）</t>
  </si>
  <si>
    <t>合    计</t>
  </si>
  <si>
    <t>国家电影事业发展专项资金安排的支出</t>
  </si>
  <si>
    <t>资助国产影片放映</t>
  </si>
  <si>
    <t>文化广电体育和旅游局</t>
  </si>
  <si>
    <t>补助国产影片放映</t>
  </si>
  <si>
    <t>其他国家电影事业发展专项资金支出</t>
  </si>
  <si>
    <t>数字影院防疫补助</t>
  </si>
  <si>
    <t>全县旅游开发</t>
  </si>
  <si>
    <t>大中型水库移民后期扶持基金</t>
  </si>
  <si>
    <t>移民补助</t>
  </si>
  <si>
    <t>基础设施建设和经济发展</t>
  </si>
  <si>
    <t>移民扶助项目</t>
  </si>
  <si>
    <t>城乡社区</t>
  </si>
  <si>
    <t>国有土地使用权出让收入安排的支出</t>
  </si>
  <si>
    <t>征地和拆迁补偿支出</t>
  </si>
  <si>
    <t>土地储备交易中心</t>
  </si>
  <si>
    <t>工业园区建设项目征地补偿6818万元；民族高级中学项目征地补偿3680万元；公交车站项目征地补偿816万元；东环路建设征地补偿4640万元；医院搬迁等项目征地补偿1608万元；环江四桥建设征地补偿400万元；高铁大道建设征地补偿5600万元；石门沟公墓项目征地补偿2160万元；猫鼻岭进城大道项目征地补偿2128万元；城西农贸市场项目房屋拆迁补偿2500万元；毛南大道项目房屋拆迁补偿1380万元；其他城区规划项目征地补偿1083万元。</t>
  </si>
  <si>
    <t>建设项目前期土地开发</t>
  </si>
  <si>
    <t>城市基础设施配套费安排的支出</t>
  </si>
  <si>
    <t>城市公共设施</t>
  </si>
  <si>
    <t>住建局</t>
  </si>
  <si>
    <t>城市基础设施建设488万元。</t>
  </si>
  <si>
    <t>市政基础设施建设</t>
  </si>
  <si>
    <t>污水处理安排的支出</t>
  </si>
  <si>
    <t>污水处理设施建设安排的支出</t>
  </si>
  <si>
    <t>污水处理厂</t>
  </si>
  <si>
    <t>其中：污水处理厂运行费500万元。</t>
  </si>
  <si>
    <t>污水处理厂运行费</t>
  </si>
  <si>
    <t>大中型水库库区基金安排的支出</t>
  </si>
  <si>
    <t>水库移民灾后重建项目</t>
  </si>
  <si>
    <t>其他政府性基金安排的支出</t>
  </si>
  <si>
    <t>水库移民基础设施建设。</t>
  </si>
  <si>
    <t>用于社会福利的彩票公益金支出</t>
  </si>
  <si>
    <t>用于老年人、残疾人、儿童、社会公益四方面。</t>
  </si>
  <si>
    <t>墙改基金结余</t>
  </si>
  <si>
    <t>用于体育事业的彩票公益金支出</t>
  </si>
  <si>
    <t>用于教育事业的彩票公益金支出</t>
  </si>
  <si>
    <t>乡村学校少年宫项目</t>
  </si>
  <si>
    <t>用于残疾人事业的彩票公益金支出</t>
  </si>
  <si>
    <t>统筹用于残疾儿童康复救助、贫困智力精神和重度残疾人残疾评定补贴、贫困重度残疾人家族无障碍改造、残疾人康复和托养机构设备补贴、残疾人助学、残疾文化等。</t>
  </si>
  <si>
    <t>用于城乡医疗救助的彩票公益金支出</t>
  </si>
  <si>
    <t>用于农村贫困人口符合医疗救助规定的个人自付医疗费用。</t>
  </si>
  <si>
    <t>体育活动</t>
  </si>
  <si>
    <r>
      <rPr>
        <sz val="11"/>
        <rFont val="宋体"/>
        <charset val="134"/>
      </rPr>
      <t>附件</t>
    </r>
    <r>
      <rPr>
        <sz val="11"/>
        <rFont val="Arial"/>
        <charset val="134"/>
      </rPr>
      <t>9</t>
    </r>
    <r>
      <rPr>
        <sz val="11"/>
        <rFont val="宋体"/>
        <charset val="134"/>
      </rPr>
      <t>：</t>
    </r>
  </si>
  <si>
    <t>环江毛南族自治县社会保险基金预算2021年收入预算（草案）</t>
  </si>
  <si>
    <t>项  目</t>
  </si>
  <si>
    <t>2020年完成情况</t>
  </si>
  <si>
    <t>调整预算</t>
  </si>
  <si>
    <t>预计完成数</t>
  </si>
  <si>
    <t>完成调整
预算</t>
  </si>
  <si>
    <t>2017年
完成数</t>
  </si>
  <si>
    <t>比2020年预计完成数增减</t>
  </si>
  <si>
    <t>一、城乡居民基本养老保险基金收入</t>
  </si>
  <si>
    <t xml:space="preserve">    其中：缴费收入</t>
  </si>
  <si>
    <t xml:space="preserve">          财政补贴收入</t>
  </si>
  <si>
    <t xml:space="preserve">          利息收入</t>
  </si>
  <si>
    <t xml:space="preserve">          委托投资收益</t>
  </si>
  <si>
    <t xml:space="preserve">          集体补助收入</t>
  </si>
  <si>
    <t xml:space="preserve">          其他收入</t>
  </si>
  <si>
    <t>27.05%%</t>
  </si>
  <si>
    <r>
      <rPr>
        <sz val="11"/>
        <color indexed="8"/>
        <rFont val="宋体"/>
        <charset val="134"/>
      </rPr>
      <t xml:space="preserve">          </t>
    </r>
    <r>
      <rPr>
        <sz val="11"/>
        <color indexed="8"/>
        <rFont val="宋体"/>
        <charset val="134"/>
      </rPr>
      <t>转移</t>
    </r>
    <r>
      <rPr>
        <sz val="11"/>
        <color indexed="8"/>
        <rFont val="宋体"/>
        <charset val="134"/>
      </rPr>
      <t>收入</t>
    </r>
  </si>
  <si>
    <t>二、机关事业单位基本养老保险基金收入</t>
  </si>
  <si>
    <t xml:space="preserve">    其中：保险费收入</t>
  </si>
  <si>
    <t>收入合计</t>
  </si>
  <si>
    <r>
      <rPr>
        <sz val="11"/>
        <color indexed="8"/>
        <rFont val="宋体"/>
        <charset val="134"/>
      </rPr>
      <t xml:space="preserve"> </t>
    </r>
    <r>
      <rPr>
        <sz val="11"/>
        <color indexed="8"/>
        <rFont val="宋体"/>
        <charset val="134"/>
      </rPr>
      <t xml:space="preserve">      </t>
    </r>
    <r>
      <rPr>
        <sz val="11"/>
        <color indexed="8"/>
        <rFont val="宋体"/>
        <charset val="134"/>
      </rPr>
      <t>城乡居民基本养老保险基金结余</t>
    </r>
  </si>
  <si>
    <r>
      <rPr>
        <sz val="11"/>
        <color indexed="8"/>
        <rFont val="宋体"/>
        <charset val="134"/>
      </rPr>
      <t xml:space="preserve"> </t>
    </r>
    <r>
      <rPr>
        <sz val="11"/>
        <color indexed="8"/>
        <rFont val="宋体"/>
        <charset val="134"/>
      </rPr>
      <t xml:space="preserve">      </t>
    </r>
    <r>
      <rPr>
        <sz val="11"/>
        <color indexed="8"/>
        <rFont val="宋体"/>
        <charset val="134"/>
      </rPr>
      <t>机关事业单位基本养老保险基金结余</t>
    </r>
  </si>
  <si>
    <t>+</t>
  </si>
  <si>
    <r>
      <rPr>
        <sz val="12"/>
        <rFont val="宋体"/>
        <charset val="134"/>
      </rPr>
      <t>附件</t>
    </r>
    <r>
      <rPr>
        <sz val="12"/>
        <rFont val="Arial"/>
        <charset val="134"/>
      </rPr>
      <t>10</t>
    </r>
    <r>
      <rPr>
        <sz val="12"/>
        <rFont val="宋体"/>
        <charset val="134"/>
      </rPr>
      <t>：</t>
    </r>
  </si>
  <si>
    <t>环江毛南族自治县社会保险基金预算2021年支出预算（草案）</t>
  </si>
  <si>
    <t>一、城乡居民基本养老保险基金支出</t>
  </si>
  <si>
    <t xml:space="preserve">     其中：基础养老金支出</t>
  </si>
  <si>
    <t xml:space="preserve">           个人账户养老金支出</t>
  </si>
  <si>
    <t xml:space="preserve">           丧葬抚恤补助</t>
  </si>
  <si>
    <t xml:space="preserve">           其他支出</t>
  </si>
  <si>
    <r>
      <rPr>
        <sz val="11"/>
        <color indexed="8"/>
        <rFont val="宋体"/>
        <charset val="134"/>
      </rPr>
      <t xml:space="preserve">     其中：基</t>
    </r>
    <r>
      <rPr>
        <sz val="11"/>
        <color indexed="8"/>
        <rFont val="宋体"/>
        <charset val="134"/>
      </rPr>
      <t>础</t>
    </r>
    <r>
      <rPr>
        <sz val="11"/>
        <color indexed="8"/>
        <rFont val="宋体"/>
        <charset val="134"/>
      </rPr>
      <t>养老金支出</t>
    </r>
  </si>
  <si>
    <r>
      <rPr>
        <sz val="11"/>
        <color indexed="8"/>
        <rFont val="宋体"/>
        <charset val="134"/>
      </rPr>
      <t xml:space="preserve">           个人账户养老金</t>
    </r>
    <r>
      <rPr>
        <sz val="11"/>
        <color indexed="8"/>
        <rFont val="宋体"/>
        <charset val="134"/>
      </rPr>
      <t>支出</t>
    </r>
  </si>
  <si>
    <r>
      <rPr>
        <sz val="11"/>
        <color indexed="8"/>
        <rFont val="宋体"/>
        <charset val="134"/>
      </rPr>
      <t xml:space="preserve">           丧葬补助金</t>
    </r>
    <r>
      <rPr>
        <sz val="11"/>
        <color indexed="8"/>
        <rFont val="宋体"/>
        <charset val="134"/>
      </rPr>
      <t>支出</t>
    </r>
  </si>
  <si>
    <r>
      <rPr>
        <sz val="11"/>
        <color indexed="8"/>
        <rFont val="宋体"/>
        <charset val="134"/>
      </rPr>
      <t xml:space="preserve">           其他</t>
    </r>
    <r>
      <rPr>
        <sz val="11"/>
        <color indexed="8"/>
        <rFont val="宋体"/>
        <charset val="134"/>
      </rPr>
      <t>支出</t>
    </r>
  </si>
  <si>
    <r>
      <rPr>
        <sz val="11"/>
        <color indexed="8"/>
        <rFont val="宋体"/>
        <charset val="134"/>
      </rPr>
      <t xml:space="preserve">           转移</t>
    </r>
    <r>
      <rPr>
        <sz val="11"/>
        <color indexed="8"/>
        <rFont val="宋体"/>
        <charset val="134"/>
      </rPr>
      <t>支出</t>
    </r>
  </si>
  <si>
    <t>二、机关事业单位基本养老保险基金支出</t>
  </si>
  <si>
    <t xml:space="preserve">     其中：基本养老金支出</t>
  </si>
  <si>
    <t>支出合计</t>
  </si>
  <si>
    <t>附件11</t>
  </si>
  <si>
    <t>环江毛南族自治县2021年国有资本经营预算收入表（草案）</t>
  </si>
  <si>
    <t>2020年预算数</t>
  </si>
  <si>
    <t>1030301</t>
  </si>
  <si>
    <t>一、利润收入</t>
  </si>
  <si>
    <t>103060198</t>
  </si>
  <si>
    <t xml:space="preserve">    其他国有资本经营预算企业利润收入</t>
  </si>
  <si>
    <t>1030602</t>
  </si>
  <si>
    <t>二、股利、股息收入</t>
  </si>
  <si>
    <t>103060202</t>
  </si>
  <si>
    <t xml:space="preserve">    国有控股公司股利、股息收入</t>
  </si>
  <si>
    <t>103060203</t>
  </si>
  <si>
    <t xml:space="preserve">    国有参股公司股利、股息收入</t>
  </si>
  <si>
    <t>1030603</t>
  </si>
  <si>
    <t>三、产权转让收入</t>
  </si>
  <si>
    <t>103060301</t>
  </si>
  <si>
    <t xml:space="preserve">    国有股减持收入</t>
  </si>
  <si>
    <t>103060304</t>
  </si>
  <si>
    <t xml:space="preserve">    国有股权、股份转让收入</t>
  </si>
  <si>
    <t>1030604</t>
  </si>
  <si>
    <t>四、清算收入</t>
  </si>
  <si>
    <t>103060401</t>
  </si>
  <si>
    <t xml:space="preserve">    国有股权、股份清算收入</t>
  </si>
  <si>
    <t>103060402</t>
  </si>
  <si>
    <t xml:space="preserve">    国有独资企业清算收入</t>
  </si>
  <si>
    <t>103060498</t>
  </si>
  <si>
    <t xml:space="preserve">    其他国有资本经营预算企业清算收入</t>
  </si>
  <si>
    <t>1030698</t>
  </si>
  <si>
    <t>五、其他国有资本经营预算收入</t>
  </si>
  <si>
    <t>10306</t>
  </si>
  <si>
    <t>国有资本经营预算收入合计</t>
  </si>
  <si>
    <t xml:space="preserve">    上级补助收入</t>
  </si>
  <si>
    <t>附件12</t>
  </si>
  <si>
    <t>环江毛南族自治县2021年国有资本经营预算支出表（草案）</t>
  </si>
  <si>
    <t>一、国有资本经营预算支出</t>
  </si>
  <si>
    <t>22302</t>
  </si>
  <si>
    <t xml:space="preserve">  国有企业资本金注入</t>
  </si>
  <si>
    <t>22303</t>
  </si>
  <si>
    <t xml:space="preserve">  国有企业政策性补贴</t>
  </si>
  <si>
    <t>22304</t>
  </si>
  <si>
    <t xml:space="preserve">  金融国有资本经营预算支出</t>
  </si>
  <si>
    <t>22399</t>
  </si>
  <si>
    <t xml:space="preserve">  其他国有资本经营预算支出</t>
  </si>
  <si>
    <t>二、上年结转专款支出</t>
  </si>
  <si>
    <t>国有资本经营预算支出合计</t>
  </si>
  <si>
    <t xml:space="preserve">    补助下级支出</t>
  </si>
  <si>
    <t>23008</t>
  </si>
</sst>
</file>

<file path=xl/styles.xml><?xml version="1.0" encoding="utf-8"?>
<styleSheet xmlns="http://schemas.openxmlformats.org/spreadsheetml/2006/main">
  <numFmts count="10">
    <numFmt numFmtId="44" formatCode="_ &quot;￥&quot;* #,##0.00_ ;_ &quot;￥&quot;* \-#,##0.00_ ;_ &quot;￥&quot;* &quot;-&quot;??_ ;_ @_ "/>
    <numFmt numFmtId="42" formatCode="_ &quot;￥&quot;* #,##0_ ;_ &quot;￥&quot;* \-#,##0_ ;_ &quot;￥&quot;* &quot;-&quot;_ ;_ @_ "/>
    <numFmt numFmtId="41" formatCode="_ * #,##0_ ;_ * \-#,##0_ ;_ * &quot;-&quot;_ ;_ @_ "/>
    <numFmt numFmtId="176" formatCode="#,##0_);[Red]\(#,##0\)"/>
    <numFmt numFmtId="43" formatCode="_ * #,##0.00_ ;_ * \-#,##0.00_ ;_ * &quot;-&quot;??_ ;_ @_ "/>
    <numFmt numFmtId="177" formatCode="#,##0_ "/>
    <numFmt numFmtId="178" formatCode="#,##0.00_ "/>
    <numFmt numFmtId="179" formatCode="0_ "/>
    <numFmt numFmtId="180" formatCode="0.0%"/>
    <numFmt numFmtId="181" formatCode="_ * #,##0.00_ ;_ * \-#,##0.00_ ;_ * &quot;-&quot;_ ;_ @_ "/>
  </numFmts>
  <fonts count="80">
    <font>
      <sz val="11"/>
      <color theme="1"/>
      <name val="宋体"/>
      <charset val="134"/>
      <scheme val="minor"/>
    </font>
    <font>
      <sz val="10"/>
      <name val="Arial"/>
      <charset val="0"/>
    </font>
    <font>
      <sz val="12"/>
      <name val="Arial"/>
      <charset val="0"/>
    </font>
    <font>
      <b/>
      <sz val="10"/>
      <name val="Arial"/>
      <charset val="0"/>
    </font>
    <font>
      <sz val="12"/>
      <name val="黑体"/>
      <charset val="134"/>
    </font>
    <font>
      <b/>
      <sz val="20"/>
      <color indexed="8"/>
      <name val="宋体"/>
      <charset val="134"/>
    </font>
    <font>
      <sz val="20"/>
      <color indexed="8"/>
      <name val="宋体"/>
      <charset val="134"/>
    </font>
    <font>
      <sz val="12"/>
      <color indexed="8"/>
      <name val="宋体"/>
      <charset val="134"/>
    </font>
    <font>
      <b/>
      <sz val="12"/>
      <color indexed="8"/>
      <name val="宋体"/>
      <charset val="134"/>
    </font>
    <font>
      <b/>
      <sz val="11"/>
      <name val="Arial"/>
      <charset val="0"/>
    </font>
    <font>
      <sz val="11"/>
      <name val="Arial"/>
      <charset val="0"/>
    </font>
    <font>
      <sz val="12"/>
      <name val="宋体"/>
      <charset val="134"/>
    </font>
    <font>
      <b/>
      <sz val="11"/>
      <color indexed="8"/>
      <name val="宋体"/>
      <charset val="134"/>
    </font>
    <font>
      <sz val="11"/>
      <color indexed="8"/>
      <name val="宋体"/>
      <charset val="134"/>
    </font>
    <font>
      <sz val="10"/>
      <name val="华文中宋"/>
      <charset val="134"/>
    </font>
    <font>
      <sz val="10"/>
      <name val="Arial"/>
      <charset val="134"/>
    </font>
    <font>
      <b/>
      <sz val="10"/>
      <name val="Arial"/>
      <charset val="134"/>
    </font>
    <font>
      <b/>
      <sz val="16"/>
      <name val="华文中宋"/>
      <charset val="134"/>
    </font>
    <font>
      <sz val="11"/>
      <name val="宋体"/>
      <charset val="134"/>
    </font>
    <font>
      <b/>
      <sz val="11"/>
      <name val="宋体"/>
      <charset val="134"/>
    </font>
    <font>
      <b/>
      <sz val="12"/>
      <name val="宋体"/>
      <charset val="134"/>
    </font>
    <font>
      <b/>
      <sz val="10"/>
      <name val="宋体"/>
      <charset val="134"/>
    </font>
    <font>
      <sz val="10"/>
      <name val="宋体"/>
      <charset val="134"/>
    </font>
    <font>
      <b/>
      <sz val="18"/>
      <name val="华文中宋"/>
      <charset val="134"/>
    </font>
    <font>
      <sz val="11"/>
      <color rgb="FFFF0000"/>
      <name val="宋体"/>
      <charset val="134"/>
    </font>
    <font>
      <sz val="11"/>
      <color theme="1"/>
      <name val="宋体"/>
      <charset val="134"/>
    </font>
    <font>
      <sz val="12"/>
      <color theme="1"/>
      <name val="黑体"/>
      <charset val="134"/>
    </font>
    <font>
      <sz val="12"/>
      <color theme="1"/>
      <name val="宋体"/>
      <charset val="134"/>
    </font>
    <font>
      <b/>
      <sz val="11"/>
      <color theme="1"/>
      <name val="宋体"/>
      <charset val="134"/>
    </font>
    <font>
      <sz val="10"/>
      <color theme="1"/>
      <name val="宋体"/>
      <charset val="134"/>
    </font>
    <font>
      <b/>
      <sz val="10"/>
      <color theme="1"/>
      <name val="宋体"/>
      <charset val="134"/>
    </font>
    <font>
      <b/>
      <sz val="20"/>
      <color theme="1"/>
      <name val="华文中宋"/>
      <charset val="134"/>
    </font>
    <font>
      <b/>
      <sz val="10"/>
      <color theme="1"/>
      <name val="华文中宋"/>
      <charset val="134"/>
    </font>
    <font>
      <b/>
      <sz val="12"/>
      <color theme="1"/>
      <name val="宋体"/>
      <charset val="134"/>
    </font>
    <font>
      <sz val="18"/>
      <name val="黑体"/>
      <charset val="134"/>
    </font>
    <font>
      <b/>
      <sz val="20"/>
      <name val="华文中宋"/>
      <charset val="134"/>
    </font>
    <font>
      <sz val="9"/>
      <name val="宋体"/>
      <charset val="134"/>
    </font>
    <font>
      <b/>
      <sz val="14"/>
      <name val="宋体"/>
      <charset val="134"/>
    </font>
    <font>
      <sz val="14"/>
      <name val="宋体"/>
      <charset val="134"/>
    </font>
    <font>
      <b/>
      <sz val="26"/>
      <name val="宋体"/>
      <charset val="134"/>
    </font>
    <font>
      <sz val="18"/>
      <name val="宋体"/>
      <charset val="134"/>
    </font>
    <font>
      <b/>
      <sz val="9"/>
      <name val="宋体"/>
      <charset val="134"/>
    </font>
    <font>
      <b/>
      <sz val="18"/>
      <name val="方正小标宋简体"/>
      <charset val="134"/>
    </font>
    <font>
      <b/>
      <sz val="20"/>
      <name val="宋体"/>
      <charset val="134"/>
    </font>
    <font>
      <sz val="18"/>
      <name val="方正小标宋简体"/>
      <charset val="134"/>
    </font>
    <font>
      <b/>
      <sz val="12"/>
      <name val="黑体"/>
      <charset val="134"/>
    </font>
    <font>
      <sz val="8"/>
      <name val="宋体"/>
      <charset val="134"/>
    </font>
    <font>
      <sz val="11"/>
      <name val="宋体"/>
      <charset val="134"/>
      <scheme val="major"/>
    </font>
    <font>
      <sz val="12"/>
      <color indexed="8"/>
      <name val="宋体"/>
      <charset val="134"/>
      <scheme val="major"/>
    </font>
    <font>
      <sz val="12"/>
      <name val="宋体"/>
      <charset val="134"/>
      <scheme val="major"/>
    </font>
    <font>
      <sz val="11"/>
      <name val="黑体"/>
      <charset val="134"/>
    </font>
    <font>
      <sz val="11"/>
      <color indexed="8"/>
      <name val="宋体"/>
      <charset val="134"/>
      <scheme val="major"/>
    </font>
    <font>
      <sz val="11"/>
      <name val="仿宋_GB2312"/>
      <charset val="134"/>
    </font>
    <font>
      <sz val="12"/>
      <name val="仿宋_GB2312"/>
      <charset val="134"/>
    </font>
    <font>
      <b/>
      <sz val="18"/>
      <name val="宋体"/>
      <charset val="134"/>
    </font>
    <font>
      <sz val="12"/>
      <color indexed="8"/>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rgb="FFFF0000"/>
      <name val="宋体"/>
      <charset val="0"/>
      <scheme val="minor"/>
    </font>
    <font>
      <sz val="11"/>
      <color theme="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sz val="12"/>
      <name val="Times New Roman"/>
      <charset val="134"/>
    </font>
    <font>
      <b/>
      <sz val="11"/>
      <color theme="3"/>
      <name val="宋体"/>
      <charset val="134"/>
      <scheme val="minor"/>
    </font>
    <font>
      <i/>
      <sz val="11"/>
      <color rgb="FF7F7F7F"/>
      <name val="宋体"/>
      <charset val="0"/>
      <scheme val="minor"/>
    </font>
    <font>
      <b/>
      <sz val="13"/>
      <color theme="3"/>
      <name val="宋体"/>
      <charset val="134"/>
      <scheme val="minor"/>
    </font>
    <font>
      <b/>
      <sz val="15"/>
      <color theme="3"/>
      <name val="宋体"/>
      <charset val="134"/>
      <scheme val="minor"/>
    </font>
    <font>
      <b/>
      <sz val="11"/>
      <color rgb="FF3F3F3F"/>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2"/>
      <name val="Arial"/>
      <charset val="134"/>
    </font>
    <font>
      <sz val="11"/>
      <name val="Arial"/>
      <charset val="134"/>
    </font>
    <font>
      <b/>
      <sz val="9"/>
      <name val="宋体"/>
      <charset val="134"/>
    </font>
    <font>
      <sz val="9"/>
      <name val="宋体"/>
      <charset val="134"/>
    </font>
  </fonts>
  <fills count="38">
    <fill>
      <patternFill patternType="none"/>
    </fill>
    <fill>
      <patternFill patternType="gray125"/>
    </fill>
    <fill>
      <patternFill patternType="solid">
        <fgColor indexed="9"/>
        <bgColor indexed="64"/>
      </patternFill>
    </fill>
    <fill>
      <patternFill patternType="solid">
        <fgColor indexed="29"/>
        <bgColor indexed="64"/>
      </patternFill>
    </fill>
    <fill>
      <patternFill patternType="solid">
        <fgColor indexed="42"/>
        <bgColor indexed="64"/>
      </patternFill>
    </fill>
    <fill>
      <patternFill patternType="solid">
        <fgColor indexed="31"/>
        <bgColor indexed="64"/>
      </patternFill>
    </fill>
    <fill>
      <patternFill patternType="solid">
        <fgColor indexed="2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7">
    <xf numFmtId="0" fontId="0" fillId="0" borderId="0">
      <alignment vertical="center"/>
    </xf>
    <xf numFmtId="42" fontId="0" fillId="0" borderId="0" applyFont="0" applyFill="0" applyBorder="0" applyAlignment="0" applyProtection="0">
      <alignment vertical="center"/>
    </xf>
    <xf numFmtId="0" fontId="56" fillId="7" borderId="0" applyNumberFormat="0" applyBorder="0" applyAlignment="0" applyProtection="0">
      <alignment vertical="center"/>
    </xf>
    <xf numFmtId="0" fontId="57" fillId="8"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6" fillId="9" borderId="0" applyNumberFormat="0" applyBorder="0" applyAlignment="0" applyProtection="0">
      <alignment vertical="center"/>
    </xf>
    <xf numFmtId="0" fontId="58" fillId="11" borderId="0" applyNumberFormat="0" applyBorder="0" applyAlignment="0" applyProtection="0">
      <alignment vertical="center"/>
    </xf>
    <xf numFmtId="43" fontId="0" fillId="0" borderId="0" applyFont="0" applyFill="0" applyBorder="0" applyAlignment="0" applyProtection="0">
      <alignment vertical="center"/>
    </xf>
    <xf numFmtId="0" fontId="60" fillId="12" borderId="0" applyNumberFormat="0" applyBorder="0" applyAlignment="0" applyProtection="0">
      <alignment vertical="center"/>
    </xf>
    <xf numFmtId="0" fontId="61" fillId="0" borderId="0" applyNumberFormat="0" applyFill="0" applyBorder="0" applyAlignment="0" applyProtection="0">
      <alignment vertical="center"/>
    </xf>
    <xf numFmtId="0" fontId="11" fillId="0" borderId="0"/>
    <xf numFmtId="9" fontId="0" fillId="0" borderId="0" applyFont="0" applyFill="0" applyBorder="0" applyAlignment="0" applyProtection="0">
      <alignment vertical="center"/>
    </xf>
    <xf numFmtId="0" fontId="63" fillId="0" borderId="0" applyNumberFormat="0" applyFill="0" applyBorder="0" applyAlignment="0" applyProtection="0">
      <alignment vertical="center"/>
    </xf>
    <xf numFmtId="0" fontId="0" fillId="16" borderId="15" applyNumberFormat="0" applyFont="0" applyAlignment="0" applyProtection="0">
      <alignment vertical="center"/>
    </xf>
    <xf numFmtId="0" fontId="60" fillId="17" borderId="0" applyNumberFormat="0" applyBorder="0" applyAlignment="0" applyProtection="0">
      <alignment vertical="center"/>
    </xf>
    <xf numFmtId="0" fontId="65"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8" fillId="0" borderId="17" applyNumberFormat="0" applyFill="0" applyAlignment="0" applyProtection="0">
      <alignment vertical="center"/>
    </xf>
    <xf numFmtId="0" fontId="67" fillId="0" borderId="17" applyNumberFormat="0" applyFill="0" applyAlignment="0" applyProtection="0">
      <alignment vertical="center"/>
    </xf>
    <xf numFmtId="0" fontId="60" fillId="21" borderId="0" applyNumberFormat="0" applyBorder="0" applyAlignment="0" applyProtection="0">
      <alignment vertical="center"/>
    </xf>
    <xf numFmtId="0" fontId="65" fillId="0" borderId="16" applyNumberFormat="0" applyFill="0" applyAlignment="0" applyProtection="0">
      <alignment vertical="center"/>
    </xf>
    <xf numFmtId="0" fontId="11" fillId="0" borderId="0">
      <alignment vertical="center"/>
    </xf>
    <xf numFmtId="0" fontId="60" fillId="23" borderId="0" applyNumberFormat="0" applyBorder="0" applyAlignment="0" applyProtection="0">
      <alignment vertical="center"/>
    </xf>
    <xf numFmtId="0" fontId="69" fillId="24" borderId="18" applyNumberFormat="0" applyAlignment="0" applyProtection="0">
      <alignment vertical="center"/>
    </xf>
    <xf numFmtId="0" fontId="71" fillId="24" borderId="14" applyNumberFormat="0" applyAlignment="0" applyProtection="0">
      <alignment vertical="center"/>
    </xf>
    <xf numFmtId="0" fontId="72" fillId="25" borderId="20" applyNumberFormat="0" applyAlignment="0" applyProtection="0">
      <alignment vertical="center"/>
    </xf>
    <xf numFmtId="0" fontId="56" fillId="22" borderId="0" applyNumberFormat="0" applyBorder="0" applyAlignment="0" applyProtection="0">
      <alignment vertical="center"/>
    </xf>
    <xf numFmtId="0" fontId="60" fillId="20" borderId="0" applyNumberFormat="0" applyBorder="0" applyAlignment="0" applyProtection="0">
      <alignment vertical="center"/>
    </xf>
    <xf numFmtId="0" fontId="73" fillId="0" borderId="21" applyNumberFormat="0" applyFill="0" applyAlignment="0" applyProtection="0">
      <alignment vertical="center"/>
    </xf>
    <xf numFmtId="0" fontId="70" fillId="0" borderId="19" applyNumberFormat="0" applyFill="0" applyAlignment="0" applyProtection="0">
      <alignment vertical="center"/>
    </xf>
    <xf numFmtId="0" fontId="74" fillId="27" borderId="0" applyNumberFormat="0" applyBorder="0" applyAlignment="0" applyProtection="0">
      <alignment vertical="center"/>
    </xf>
    <xf numFmtId="0" fontId="75" fillId="28" borderId="0" applyNumberFormat="0" applyBorder="0" applyAlignment="0" applyProtection="0">
      <alignment vertical="center"/>
    </xf>
    <xf numFmtId="0" fontId="56" fillId="29" borderId="0" applyNumberFormat="0" applyBorder="0" applyAlignment="0" applyProtection="0">
      <alignment vertical="center"/>
    </xf>
    <xf numFmtId="0" fontId="60" fillId="32" borderId="0" applyNumberFormat="0" applyBorder="0" applyAlignment="0" applyProtection="0">
      <alignment vertical="center"/>
    </xf>
    <xf numFmtId="0" fontId="56" fillId="33" borderId="0" applyNumberFormat="0" applyBorder="0" applyAlignment="0" applyProtection="0">
      <alignment vertical="center"/>
    </xf>
    <xf numFmtId="0" fontId="56" fillId="15" borderId="0" applyNumberFormat="0" applyBorder="0" applyAlignment="0" applyProtection="0">
      <alignment vertical="center"/>
    </xf>
    <xf numFmtId="0" fontId="56" fillId="34" borderId="0" applyNumberFormat="0" applyBorder="0" applyAlignment="0" applyProtection="0">
      <alignment vertical="center"/>
    </xf>
    <xf numFmtId="0" fontId="56" fillId="31" borderId="0" applyNumberFormat="0" applyBorder="0" applyAlignment="0" applyProtection="0">
      <alignment vertical="center"/>
    </xf>
    <xf numFmtId="0" fontId="60" fillId="30" borderId="0" applyNumberFormat="0" applyBorder="0" applyAlignment="0" applyProtection="0">
      <alignment vertical="center"/>
    </xf>
    <xf numFmtId="0" fontId="11" fillId="0" borderId="0"/>
    <xf numFmtId="0" fontId="60" fillId="26" borderId="0" applyNumberFormat="0" applyBorder="0" applyAlignment="0" applyProtection="0">
      <alignment vertical="center"/>
    </xf>
    <xf numFmtId="0" fontId="56" fillId="14" borderId="0" applyNumberFormat="0" applyBorder="0" applyAlignment="0" applyProtection="0">
      <alignment vertical="center"/>
    </xf>
    <xf numFmtId="0" fontId="56" fillId="36" borderId="0" applyNumberFormat="0" applyBorder="0" applyAlignment="0" applyProtection="0">
      <alignment vertical="center"/>
    </xf>
    <xf numFmtId="0" fontId="60" fillId="19" borderId="0" applyNumberFormat="0" applyBorder="0" applyAlignment="0" applyProtection="0">
      <alignment vertical="center"/>
    </xf>
    <xf numFmtId="0" fontId="56" fillId="10" borderId="0" applyNumberFormat="0" applyBorder="0" applyAlignment="0" applyProtection="0">
      <alignment vertical="center"/>
    </xf>
    <xf numFmtId="0" fontId="60" fillId="13" borderId="0" applyNumberFormat="0" applyBorder="0" applyAlignment="0" applyProtection="0">
      <alignment vertical="center"/>
    </xf>
    <xf numFmtId="0" fontId="60" fillId="35" borderId="0" applyNumberFormat="0" applyBorder="0" applyAlignment="0" applyProtection="0">
      <alignment vertical="center"/>
    </xf>
    <xf numFmtId="0" fontId="56" fillId="18" borderId="0" applyNumberFormat="0" applyBorder="0" applyAlignment="0" applyProtection="0">
      <alignment vertical="center"/>
    </xf>
    <xf numFmtId="0" fontId="60" fillId="37" borderId="0" applyNumberFormat="0" applyBorder="0" applyAlignment="0" applyProtection="0">
      <alignment vertical="center"/>
    </xf>
    <xf numFmtId="0" fontId="0" fillId="0" borderId="0">
      <alignment vertical="center"/>
    </xf>
    <xf numFmtId="0" fontId="11" fillId="0" borderId="0">
      <alignment vertical="center"/>
    </xf>
    <xf numFmtId="0" fontId="15" fillId="0" borderId="0"/>
    <xf numFmtId="0" fontId="64" fillId="0" borderId="0"/>
    <xf numFmtId="0" fontId="11" fillId="0" borderId="0"/>
  </cellStyleXfs>
  <cellXfs count="47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1"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7" fillId="2" borderId="0" xfId="0" applyFont="1" applyFill="1" applyBorder="1" applyAlignment="1">
      <alignment horizontal="right" vertical="center"/>
    </xf>
    <xf numFmtId="0" fontId="7" fillId="2" borderId="0"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vertical="center"/>
    </xf>
    <xf numFmtId="177" fontId="8" fillId="2" borderId="1" xfId="0" applyNumberFormat="1" applyFont="1" applyFill="1" applyBorder="1" applyAlignment="1">
      <alignment horizontal="center" vertical="center"/>
    </xf>
    <xf numFmtId="0" fontId="7" fillId="0" borderId="1" xfId="0" applyFont="1" applyFill="1" applyBorder="1" applyAlignment="1">
      <alignment horizontal="left" vertical="center"/>
    </xf>
    <xf numFmtId="0" fontId="7" fillId="0" borderId="1" xfId="0" applyFont="1" applyFill="1" applyBorder="1" applyAlignment="1">
      <alignment vertical="center"/>
    </xf>
    <xf numFmtId="177" fontId="7" fillId="0" borderId="1" xfId="0" applyNumberFormat="1" applyFont="1" applyFill="1" applyBorder="1" applyAlignment="1">
      <alignment horizontal="center" vertical="center"/>
    </xf>
    <xf numFmtId="0" fontId="8" fillId="0" borderId="1" xfId="0" applyFont="1" applyFill="1" applyBorder="1" applyAlignment="1">
      <alignment vertical="center"/>
    </xf>
    <xf numFmtId="0" fontId="7" fillId="2" borderId="1" xfId="0" applyFont="1" applyFill="1" applyBorder="1" applyAlignment="1">
      <alignment vertical="center"/>
    </xf>
    <xf numFmtId="177" fontId="7" fillId="2" borderId="1" xfId="0" applyNumberFormat="1" applyFont="1" applyFill="1" applyBorder="1" applyAlignment="1">
      <alignment horizontal="center"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4" fillId="0" borderId="0" xfId="0" applyFont="1" applyFill="1" applyBorder="1" applyAlignment="1">
      <alignment horizontal="left"/>
    </xf>
    <xf numFmtId="0" fontId="4" fillId="0" borderId="0" xfId="0" applyFont="1" applyFill="1" applyBorder="1" applyAlignment="1">
      <alignment horizontal="center"/>
    </xf>
    <xf numFmtId="0" fontId="7" fillId="2" borderId="0" xfId="0" applyFont="1" applyFill="1" applyBorder="1" applyAlignment="1">
      <alignment horizontal="right"/>
    </xf>
    <xf numFmtId="0" fontId="7" fillId="2" borderId="0" xfId="0" applyFont="1" applyFill="1" applyBorder="1" applyAlignment="1">
      <alignment horizontal="center"/>
    </xf>
    <xf numFmtId="0" fontId="12" fillId="2" borderId="1" xfId="0" applyFont="1" applyFill="1" applyBorder="1" applyAlignment="1">
      <alignment vertical="center"/>
    </xf>
    <xf numFmtId="177" fontId="12" fillId="2" borderId="1" xfId="0" applyNumberFormat="1" applyFont="1" applyFill="1" applyBorder="1" applyAlignment="1">
      <alignment horizontal="center" vertical="center"/>
    </xf>
    <xf numFmtId="0" fontId="13" fillId="0" borderId="1" xfId="0" applyFont="1" applyFill="1" applyBorder="1" applyAlignment="1">
      <alignment vertical="center"/>
    </xf>
    <xf numFmtId="177" fontId="13" fillId="0" borderId="1" xfId="0" applyNumberFormat="1" applyFont="1" applyFill="1" applyBorder="1" applyAlignment="1">
      <alignment horizontal="center" vertical="center"/>
    </xf>
    <xf numFmtId="0" fontId="12" fillId="0" borderId="1" xfId="0" applyFont="1" applyFill="1" applyBorder="1" applyAlignment="1">
      <alignment vertical="center"/>
    </xf>
    <xf numFmtId="177" fontId="12" fillId="0" borderId="1" xfId="0" applyNumberFormat="1" applyFont="1" applyFill="1" applyBorder="1" applyAlignment="1">
      <alignment horizontal="center" vertical="center"/>
    </xf>
    <xf numFmtId="0" fontId="13" fillId="2" borderId="1" xfId="0" applyFont="1" applyFill="1" applyBorder="1" applyAlignment="1">
      <alignment vertical="center"/>
    </xf>
    <xf numFmtId="177" fontId="13" fillId="2"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4" fillId="0" borderId="0" xfId="0" applyFont="1" applyFill="1" applyAlignment="1">
      <alignment vertical="center"/>
    </xf>
    <xf numFmtId="0" fontId="15" fillId="0" borderId="0" xfId="0" applyFont="1" applyFill="1" applyAlignment="1">
      <alignment vertical="center"/>
    </xf>
    <xf numFmtId="0" fontId="16" fillId="0" borderId="0" xfId="0" applyFont="1" applyFill="1" applyAlignment="1">
      <alignment vertical="center"/>
    </xf>
    <xf numFmtId="0" fontId="11" fillId="0" borderId="0" xfId="0" applyFont="1" applyFill="1" applyAlignment="1"/>
    <xf numFmtId="0" fontId="17" fillId="0" borderId="0" xfId="54" applyFont="1" applyFill="1" applyAlignment="1" applyProtection="1">
      <alignment horizontal="center" vertical="center"/>
      <protection locked="0"/>
    </xf>
    <xf numFmtId="0" fontId="18" fillId="0" borderId="0" xfId="11" applyFont="1" applyFill="1" applyAlignment="1">
      <alignment vertical="center"/>
    </xf>
    <xf numFmtId="0" fontId="19" fillId="0" borderId="2" xfId="11" applyFont="1" applyFill="1" applyBorder="1" applyAlignment="1">
      <alignment horizontal="center" vertical="center"/>
    </xf>
    <xf numFmtId="0" fontId="19" fillId="0" borderId="2" xfId="54" applyFont="1" applyFill="1" applyBorder="1" applyAlignment="1" applyProtection="1">
      <alignment horizontal="center" vertical="center" wrapText="1"/>
      <protection locked="0"/>
    </xf>
    <xf numFmtId="0" fontId="19" fillId="0" borderId="3" xfId="54" applyFont="1" applyFill="1" applyBorder="1" applyAlignment="1" applyProtection="1">
      <alignment horizontal="center" vertical="center" wrapText="1"/>
      <protection locked="0"/>
    </xf>
    <xf numFmtId="0" fontId="20" fillId="0" borderId="2" xfId="11" applyFont="1" applyFill="1" applyBorder="1" applyAlignment="1">
      <alignment horizontal="center" vertical="center"/>
    </xf>
    <xf numFmtId="0" fontId="19" fillId="0" borderId="4" xfId="54" applyNumberFormat="1" applyFont="1" applyFill="1" applyBorder="1" applyAlignment="1" applyProtection="1">
      <alignment horizontal="center" vertical="center" wrapText="1"/>
      <protection locked="0"/>
    </xf>
    <xf numFmtId="10" fontId="19" fillId="0" borderId="4" xfId="54" applyNumberFormat="1" applyFont="1" applyFill="1" applyBorder="1" applyAlignment="1" applyProtection="1">
      <alignment horizontal="center" vertical="center" wrapText="1"/>
      <protection locked="0"/>
    </xf>
    <xf numFmtId="0" fontId="19" fillId="0" borderId="1" xfId="54" applyFont="1" applyFill="1" applyBorder="1" applyAlignment="1" applyProtection="1">
      <alignment horizontal="center" vertical="center" wrapText="1"/>
      <protection locked="0"/>
    </xf>
    <xf numFmtId="0" fontId="19" fillId="0" borderId="5" xfId="54" applyNumberFormat="1" applyFont="1" applyFill="1" applyBorder="1" applyAlignment="1" applyProtection="1">
      <alignment horizontal="center" vertical="center" wrapText="1"/>
      <protection locked="0"/>
    </xf>
    <xf numFmtId="10" fontId="19" fillId="0" borderId="5" xfId="54" applyNumberFormat="1" applyFont="1" applyFill="1" applyBorder="1" applyAlignment="1" applyProtection="1">
      <alignment horizontal="center" vertical="center" wrapText="1"/>
      <protection locked="0"/>
    </xf>
    <xf numFmtId="0" fontId="19" fillId="0" borderId="1" xfId="54" applyNumberFormat="1" applyFont="1" applyFill="1" applyBorder="1" applyAlignment="1" applyProtection="1">
      <alignment horizontal="center" vertical="center" wrapText="1"/>
      <protection locked="0"/>
    </xf>
    <xf numFmtId="0" fontId="13" fillId="0" borderId="1" xfId="11" applyFont="1" applyFill="1" applyBorder="1" applyAlignment="1">
      <alignment horizontal="justify" vertical="center" wrapText="1"/>
    </xf>
    <xf numFmtId="177" fontId="18" fillId="0" borderId="1" xfId="0" applyNumberFormat="1" applyFont="1" applyFill="1" applyBorder="1" applyAlignment="1">
      <alignment horizontal="center" vertical="center"/>
    </xf>
    <xf numFmtId="10" fontId="18" fillId="0" borderId="1" xfId="12" applyNumberFormat="1" applyFont="1" applyFill="1" applyBorder="1" applyAlignment="1">
      <alignment horizontal="center" vertical="center"/>
    </xf>
    <xf numFmtId="0" fontId="18" fillId="0" borderId="1" xfId="0" applyNumberFormat="1" applyFont="1" applyFill="1" applyBorder="1" applyAlignment="1">
      <alignment horizontal="center" vertical="center"/>
    </xf>
    <xf numFmtId="177" fontId="18" fillId="0" borderId="1" xfId="55" applyNumberFormat="1" applyFont="1" applyFill="1" applyBorder="1" applyAlignment="1">
      <alignment horizontal="center" vertical="center"/>
    </xf>
    <xf numFmtId="0" fontId="19" fillId="0" borderId="1" xfId="54" applyFont="1" applyFill="1" applyBorder="1" applyAlignment="1" applyProtection="1">
      <alignment horizontal="distributed" vertical="center"/>
      <protection locked="0"/>
    </xf>
    <xf numFmtId="177" fontId="11" fillId="0" borderId="1" xfId="54" applyNumberFormat="1" applyFont="1" applyFill="1" applyBorder="1" applyAlignment="1" applyProtection="1">
      <alignment vertical="center"/>
      <protection locked="0"/>
    </xf>
    <xf numFmtId="0" fontId="11" fillId="0" borderId="1" xfId="54" applyNumberFormat="1" applyFont="1" applyFill="1" applyBorder="1" applyAlignment="1" applyProtection="1">
      <alignment vertical="center"/>
      <protection locked="0"/>
    </xf>
    <xf numFmtId="177" fontId="11" fillId="0" borderId="1" xfId="54" applyNumberFormat="1" applyFont="1" applyFill="1" applyBorder="1" applyAlignment="1" applyProtection="1">
      <alignment horizontal="center" vertical="center"/>
      <protection locked="0"/>
    </xf>
    <xf numFmtId="0" fontId="19" fillId="0" borderId="1" xfId="54" applyFont="1" applyFill="1" applyBorder="1" applyAlignment="1" applyProtection="1">
      <alignment vertical="center"/>
      <protection locked="0"/>
    </xf>
    <xf numFmtId="0" fontId="11" fillId="0" borderId="1" xfId="54" applyNumberFormat="1" applyFont="1" applyFill="1" applyBorder="1" applyAlignment="1" applyProtection="1">
      <alignment horizontal="center" vertical="center"/>
      <protection locked="0"/>
    </xf>
    <xf numFmtId="0" fontId="18" fillId="0" borderId="1" xfId="54" applyFont="1" applyFill="1" applyBorder="1" applyAlignment="1" applyProtection="1">
      <alignment vertical="center"/>
      <protection locked="0"/>
    </xf>
    <xf numFmtId="0" fontId="18" fillId="0" borderId="0" xfId="56" applyFont="1" applyFill="1" applyAlignment="1">
      <alignment horizontal="right" vertical="center"/>
    </xf>
    <xf numFmtId="0" fontId="11" fillId="0" borderId="0" xfId="54" applyFont="1" applyFill="1" applyAlignment="1">
      <alignment vertical="center"/>
    </xf>
    <xf numFmtId="10" fontId="19" fillId="0" borderId="1" xfId="54" applyNumberFormat="1" applyFont="1" applyFill="1" applyBorder="1" applyAlignment="1" applyProtection="1">
      <alignment horizontal="center" vertical="center" wrapText="1"/>
      <protection locked="0"/>
    </xf>
    <xf numFmtId="10" fontId="18" fillId="0" borderId="1" xfId="5" applyNumberFormat="1" applyFont="1" applyFill="1" applyBorder="1" applyAlignment="1">
      <alignment horizontal="right" vertical="center"/>
    </xf>
    <xf numFmtId="10" fontId="11" fillId="0" borderId="1" xfId="12" applyNumberFormat="1" applyFont="1" applyFill="1" applyBorder="1" applyAlignment="1" applyProtection="1">
      <alignment vertical="center"/>
      <protection locked="0"/>
    </xf>
    <xf numFmtId="10" fontId="11" fillId="0" borderId="1" xfId="12" applyNumberFormat="1" applyFont="1" applyFill="1" applyBorder="1" applyAlignment="1" applyProtection="1">
      <alignment horizontal="center" vertical="center"/>
      <protection locked="0"/>
    </xf>
    <xf numFmtId="0" fontId="15" fillId="0" borderId="0" xfId="0" applyFont="1" applyFill="1" applyAlignment="1">
      <alignment horizontal="center" vertical="center"/>
    </xf>
    <xf numFmtId="0" fontId="18" fillId="0" borderId="0" xfId="0" applyFont="1" applyFill="1" applyAlignment="1"/>
    <xf numFmtId="0" fontId="18" fillId="0" borderId="0" xfId="11" applyFont="1" applyFill="1" applyAlignment="1">
      <alignment horizontal="center" vertical="center"/>
    </xf>
    <xf numFmtId="10" fontId="18" fillId="0" borderId="1" xfId="55" applyNumberFormat="1" applyFont="1" applyFill="1" applyBorder="1" applyAlignment="1">
      <alignment horizontal="center" vertical="center"/>
    </xf>
    <xf numFmtId="0" fontId="18" fillId="0" borderId="1" xfId="55" applyNumberFormat="1" applyFont="1" applyFill="1" applyBorder="1" applyAlignment="1">
      <alignment horizontal="center" vertical="center"/>
    </xf>
    <xf numFmtId="0" fontId="18" fillId="0" borderId="0" xfId="56" applyFont="1" applyFill="1" applyAlignment="1">
      <alignment horizontal="center" vertical="center"/>
    </xf>
    <xf numFmtId="0" fontId="11" fillId="0" borderId="0" xfId="54" applyFont="1" applyFill="1" applyAlignment="1">
      <alignment horizontal="center" vertical="center"/>
    </xf>
    <xf numFmtId="10" fontId="11" fillId="0" borderId="1" xfId="0" applyNumberFormat="1" applyFont="1" applyFill="1" applyBorder="1" applyAlignment="1">
      <alignment horizontal="center" vertical="center"/>
    </xf>
    <xf numFmtId="10" fontId="18" fillId="0" borderId="1" xfId="5" applyNumberFormat="1" applyFont="1" applyFill="1" applyBorder="1" applyAlignment="1">
      <alignment horizontal="center" vertical="center"/>
    </xf>
    <xf numFmtId="177" fontId="11" fillId="0" borderId="1" xfId="0" applyNumberFormat="1" applyFont="1" applyFill="1" applyBorder="1" applyAlignment="1">
      <alignment horizontal="center" vertical="center"/>
    </xf>
    <xf numFmtId="10" fontId="11" fillId="0" borderId="1" xfId="54" applyNumberFormat="1" applyFont="1" applyFill="1" applyBorder="1" applyAlignment="1" applyProtection="1">
      <alignment horizontal="center" vertical="center"/>
      <protection locked="0"/>
    </xf>
    <xf numFmtId="0" fontId="21" fillId="0" borderId="0" xfId="0" applyFont="1" applyFill="1" applyBorder="1" applyAlignment="1">
      <alignment vertical="center"/>
    </xf>
    <xf numFmtId="0" fontId="22" fillId="0" borderId="0" xfId="0" applyFont="1" applyFill="1" applyBorder="1" applyAlignment="1">
      <alignment vertical="center"/>
    </xf>
    <xf numFmtId="0" fontId="11" fillId="0" borderId="0" xfId="0" applyFont="1" applyFill="1" applyBorder="1" applyAlignment="1">
      <alignment horizontal="center" vertical="center" wrapText="1"/>
    </xf>
    <xf numFmtId="41" fontId="11" fillId="0" borderId="0" xfId="0" applyNumberFormat="1" applyFont="1" applyFill="1" applyBorder="1" applyAlignment="1">
      <alignment vertical="center"/>
    </xf>
    <xf numFmtId="0" fontId="11" fillId="0" borderId="0" xfId="0" applyFont="1" applyFill="1" applyBorder="1" applyAlignment="1">
      <alignment vertical="center" wrapText="1"/>
    </xf>
    <xf numFmtId="0" fontId="4" fillId="0" borderId="0" xfId="0" applyFont="1" applyFill="1" applyBorder="1" applyAlignment="1"/>
    <xf numFmtId="0" fontId="23" fillId="0" borderId="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wrapText="1"/>
    </xf>
    <xf numFmtId="41" fontId="23" fillId="0" borderId="0" xfId="0" applyNumberFormat="1" applyFont="1" applyFill="1" applyBorder="1" applyAlignment="1" applyProtection="1">
      <alignment horizontal="center" vertical="center"/>
    </xf>
    <xf numFmtId="0" fontId="19" fillId="0" borderId="1" xfId="0" applyNumberFormat="1" applyFont="1" applyFill="1" applyBorder="1" applyAlignment="1" applyProtection="1">
      <alignment horizontal="center" vertical="center"/>
    </xf>
    <xf numFmtId="0" fontId="19" fillId="0" borderId="1" xfId="0" applyNumberFormat="1" applyFont="1" applyFill="1" applyBorder="1" applyAlignment="1" applyProtection="1">
      <alignment horizontal="center" vertical="center" wrapText="1"/>
    </xf>
    <xf numFmtId="41" fontId="19" fillId="0" borderId="1" xfId="0" applyNumberFormat="1" applyFont="1" applyFill="1" applyBorder="1" applyAlignment="1" applyProtection="1">
      <alignment horizontal="center" vertical="center" wrapText="1"/>
    </xf>
    <xf numFmtId="41" fontId="19" fillId="0" borderId="4" xfId="0" applyNumberFormat="1" applyFont="1" applyFill="1" applyBorder="1" applyAlignment="1">
      <alignment horizontal="center" vertical="center" wrapText="1"/>
    </xf>
    <xf numFmtId="41" fontId="19" fillId="0" borderId="5" xfId="0" applyNumberFormat="1" applyFont="1" applyFill="1" applyBorder="1" applyAlignment="1">
      <alignment horizontal="center" vertical="center" wrapText="1"/>
    </xf>
    <xf numFmtId="0" fontId="19" fillId="0" borderId="2" xfId="0" applyNumberFormat="1" applyFont="1" applyFill="1" applyBorder="1" applyAlignment="1" applyProtection="1">
      <alignment horizontal="center" vertical="center" wrapText="1"/>
    </xf>
    <xf numFmtId="0" fontId="19" fillId="0" borderId="6" xfId="0" applyNumberFormat="1" applyFont="1" applyFill="1" applyBorder="1" applyAlignment="1" applyProtection="1">
      <alignment horizontal="center" vertical="center" wrapText="1"/>
    </xf>
    <xf numFmtId="41" fontId="19" fillId="0" borderId="1" xfId="0" applyNumberFormat="1" applyFont="1" applyFill="1" applyBorder="1" applyAlignment="1" applyProtection="1">
      <alignment horizontal="right" vertical="center" wrapText="1"/>
    </xf>
    <xf numFmtId="0" fontId="19" fillId="0" borderId="1" xfId="0" applyNumberFormat="1" applyFont="1" applyFill="1" applyBorder="1" applyAlignment="1" applyProtection="1">
      <alignment horizontal="left" vertical="center"/>
    </xf>
    <xf numFmtId="0" fontId="19" fillId="0" borderId="1" xfId="0" applyNumberFormat="1" applyFont="1" applyFill="1" applyBorder="1" applyAlignment="1" applyProtection="1">
      <alignment horizontal="left" vertical="center" wrapText="1"/>
    </xf>
    <xf numFmtId="0" fontId="18" fillId="0" borderId="1" xfId="0" applyNumberFormat="1" applyFont="1" applyFill="1" applyBorder="1" applyAlignment="1" applyProtection="1">
      <alignment horizontal="left" vertical="center"/>
    </xf>
    <xf numFmtId="0" fontId="18" fillId="0" borderId="1" xfId="0" applyNumberFormat="1" applyFont="1" applyFill="1" applyBorder="1" applyAlignment="1" applyProtection="1">
      <alignment horizontal="left" vertical="center" wrapText="1"/>
    </xf>
    <xf numFmtId="0" fontId="24" fillId="0" borderId="1" xfId="0" applyNumberFormat="1" applyFont="1" applyFill="1" applyBorder="1" applyAlignment="1" applyProtection="1">
      <alignment horizontal="center" vertical="center" wrapText="1"/>
    </xf>
    <xf numFmtId="41" fontId="18" fillId="0" borderId="1" xfId="0" applyNumberFormat="1" applyFont="1" applyFill="1" applyBorder="1" applyAlignment="1" applyProtection="1">
      <alignment horizontal="right" vertical="center" wrapText="1"/>
    </xf>
    <xf numFmtId="0" fontId="18"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right" vertical="center"/>
    </xf>
    <xf numFmtId="0" fontId="18" fillId="0" borderId="1" xfId="0" applyNumberFormat="1" applyFont="1" applyFill="1" applyBorder="1" applyAlignment="1" applyProtection="1">
      <alignment vertical="center" wrapText="1"/>
    </xf>
    <xf numFmtId="41" fontId="18" fillId="0" borderId="1" xfId="0" applyNumberFormat="1" applyFont="1" applyFill="1" applyBorder="1" applyAlignment="1">
      <alignment horizontal="right" vertical="center" wrapText="1"/>
    </xf>
    <xf numFmtId="0" fontId="19" fillId="0" borderId="1" xfId="0" applyFont="1" applyFill="1" applyBorder="1" applyAlignment="1">
      <alignment horizontal="left" vertical="center"/>
    </xf>
    <xf numFmtId="0" fontId="19" fillId="0" borderId="1" xfId="0" applyFont="1" applyFill="1" applyBorder="1" applyAlignment="1">
      <alignment vertical="center"/>
    </xf>
    <xf numFmtId="41" fontId="19" fillId="0" borderId="1" xfId="0" applyNumberFormat="1" applyFont="1" applyFill="1" applyBorder="1" applyAlignment="1">
      <alignment horizontal="righ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18" fillId="0" borderId="1" xfId="0" applyFont="1" applyFill="1" applyBorder="1" applyAlignment="1">
      <alignment horizontal="left" vertical="center"/>
    </xf>
    <xf numFmtId="0" fontId="18" fillId="0" borderId="1" xfId="0" applyFont="1" applyFill="1" applyBorder="1" applyAlignment="1">
      <alignment vertical="center" wrapText="1"/>
    </xf>
    <xf numFmtId="0" fontId="18" fillId="0" borderId="1" xfId="0" applyFont="1" applyFill="1" applyBorder="1" applyAlignment="1">
      <alignment horizontal="center" vertical="center" wrapText="1"/>
    </xf>
    <xf numFmtId="41" fontId="18" fillId="0" borderId="1" xfId="0" applyNumberFormat="1" applyFont="1" applyFill="1" applyBorder="1" applyAlignment="1">
      <alignment horizontal="right" vertical="center"/>
    </xf>
    <xf numFmtId="0" fontId="18" fillId="0" borderId="1" xfId="0" applyFont="1" applyFill="1" applyBorder="1" applyAlignment="1">
      <alignment horizontal="right" vertical="center"/>
    </xf>
    <xf numFmtId="0" fontId="18" fillId="0" borderId="1" xfId="0" applyFont="1" applyFill="1" applyBorder="1" applyAlignment="1">
      <alignment vertical="center"/>
    </xf>
    <xf numFmtId="0" fontId="11" fillId="0" borderId="1" xfId="0" applyFont="1" applyFill="1" applyBorder="1" applyAlignment="1">
      <alignment vertical="center" wrapText="1"/>
    </xf>
    <xf numFmtId="41" fontId="19" fillId="0" borderId="1" xfId="0" applyNumberFormat="1" applyFont="1" applyFill="1" applyBorder="1" applyAlignment="1">
      <alignment horizontal="right" vertical="center"/>
    </xf>
    <xf numFmtId="0" fontId="20" fillId="0" borderId="1" xfId="0" applyFont="1" applyFill="1" applyBorder="1" applyAlignment="1">
      <alignment horizontal="left" vertical="center"/>
    </xf>
    <xf numFmtId="0" fontId="20" fillId="0" borderId="1" xfId="0" applyFont="1" applyFill="1" applyBorder="1" applyAlignment="1">
      <alignment vertical="center"/>
    </xf>
    <xf numFmtId="0" fontId="11" fillId="0" borderId="1" xfId="0" applyFont="1" applyFill="1" applyBorder="1" applyAlignment="1">
      <alignment horizontal="center" vertical="center" wrapText="1"/>
    </xf>
    <xf numFmtId="41" fontId="20" fillId="0" borderId="1" xfId="0" applyNumberFormat="1" applyFont="1" applyFill="1" applyBorder="1" applyAlignment="1">
      <alignment vertical="center"/>
    </xf>
    <xf numFmtId="0" fontId="11" fillId="0" borderId="1" xfId="0" applyFont="1" applyFill="1" applyBorder="1" applyAlignment="1">
      <alignment horizontal="right" vertical="center"/>
    </xf>
    <xf numFmtId="41" fontId="11" fillId="0" borderId="1" xfId="0" applyNumberFormat="1" applyFont="1" applyFill="1" applyBorder="1" applyAlignment="1">
      <alignment vertical="center"/>
    </xf>
    <xf numFmtId="0" fontId="11" fillId="0" borderId="1" xfId="0" applyFont="1" applyFill="1" applyBorder="1" applyAlignment="1">
      <alignment vertical="center"/>
    </xf>
    <xf numFmtId="0" fontId="25" fillId="0" borderId="0" xfId="0" applyFont="1" applyFill="1" applyBorder="1" applyAlignment="1">
      <alignment vertical="center"/>
    </xf>
    <xf numFmtId="0" fontId="26" fillId="0" borderId="0" xfId="54" applyFont="1" applyFill="1" applyAlignment="1" applyProtection="1">
      <alignment vertical="center"/>
      <protection locked="0"/>
    </xf>
    <xf numFmtId="0" fontId="27" fillId="0" borderId="0" xfId="54" applyFont="1" applyFill="1" applyAlignment="1" applyProtection="1">
      <alignment vertical="center"/>
      <protection locked="0"/>
    </xf>
    <xf numFmtId="0" fontId="28" fillId="0" borderId="0" xfId="54" applyFont="1" applyFill="1" applyAlignment="1" applyProtection="1">
      <alignment vertical="center"/>
      <protection locked="0"/>
    </xf>
    <xf numFmtId="0" fontId="25" fillId="0" borderId="0" xfId="54" applyFont="1" applyFill="1" applyAlignment="1" applyProtection="1">
      <alignment vertical="center"/>
      <protection locked="0"/>
    </xf>
    <xf numFmtId="0" fontId="29" fillId="0" borderId="0" xfId="54" applyFont="1" applyFill="1" applyAlignment="1" applyProtection="1">
      <alignment vertical="center"/>
      <protection locked="0"/>
    </xf>
    <xf numFmtId="0" fontId="30" fillId="0" borderId="0" xfId="54" applyFont="1" applyFill="1" applyAlignment="1" applyProtection="1">
      <alignment vertical="center"/>
      <protection locked="0"/>
    </xf>
    <xf numFmtId="0" fontId="27" fillId="0" borderId="0" xfId="0" applyFont="1" applyFill="1" applyBorder="1" applyAlignment="1">
      <alignment vertical="center"/>
    </xf>
    <xf numFmtId="178" fontId="25" fillId="0" borderId="0" xfId="0" applyNumberFormat="1" applyFont="1" applyFill="1" applyBorder="1" applyAlignment="1">
      <alignment vertical="center"/>
    </xf>
    <xf numFmtId="0" fontId="25" fillId="0" borderId="0" xfId="0" applyFont="1" applyFill="1" applyBorder="1" applyAlignment="1">
      <alignment horizontal="center" vertical="center"/>
    </xf>
    <xf numFmtId="0" fontId="29" fillId="0" borderId="0" xfId="0" applyFont="1" applyFill="1" applyBorder="1" applyAlignment="1">
      <alignment vertical="center"/>
    </xf>
    <xf numFmtId="0" fontId="26" fillId="0" borderId="0" xfId="0" applyFont="1" applyFill="1" applyBorder="1" applyAlignment="1"/>
    <xf numFmtId="0" fontId="31" fillId="0" borderId="0" xfId="54" applyFont="1" applyFill="1" applyAlignment="1" applyProtection="1">
      <alignment horizontal="center" vertical="center" wrapText="1"/>
      <protection locked="0"/>
    </xf>
    <xf numFmtId="0" fontId="31" fillId="0" borderId="0" xfId="54" applyFont="1" applyFill="1" applyAlignment="1" applyProtection="1">
      <alignment horizontal="center" vertical="center"/>
      <protection locked="0"/>
    </xf>
    <xf numFmtId="0" fontId="27" fillId="0" borderId="0" xfId="54" applyFont="1" applyFill="1" applyAlignment="1" applyProtection="1">
      <alignment vertical="center" wrapText="1" shrinkToFit="1"/>
      <protection locked="0"/>
    </xf>
    <xf numFmtId="0" fontId="27" fillId="0" borderId="0" xfId="54" applyNumberFormat="1" applyFont="1" applyFill="1" applyAlignment="1" applyProtection="1">
      <alignment horizontal="center" vertical="center"/>
      <protection locked="0"/>
    </xf>
    <xf numFmtId="10" fontId="27" fillId="0" borderId="0" xfId="54" applyNumberFormat="1" applyFont="1" applyFill="1" applyAlignment="1" applyProtection="1">
      <alignment horizontal="center" vertical="center"/>
      <protection locked="0"/>
    </xf>
    <xf numFmtId="0" fontId="28" fillId="0" borderId="1" xfId="54" applyFont="1" applyFill="1" applyBorder="1" applyAlignment="1" applyProtection="1">
      <alignment horizontal="center" vertical="center" wrapText="1" shrinkToFit="1"/>
      <protection locked="0"/>
    </xf>
    <xf numFmtId="0" fontId="28" fillId="0" borderId="2" xfId="54" applyFont="1" applyFill="1" applyBorder="1" applyAlignment="1" applyProtection="1">
      <alignment horizontal="center" vertical="center" wrapText="1"/>
      <protection locked="0"/>
    </xf>
    <xf numFmtId="0" fontId="28" fillId="0" borderId="3" xfId="54" applyFont="1" applyFill="1" applyBorder="1" applyAlignment="1" applyProtection="1">
      <alignment horizontal="center" vertical="center" wrapText="1"/>
      <protection locked="0"/>
    </xf>
    <xf numFmtId="0" fontId="28" fillId="0" borderId="4" xfId="54" applyNumberFormat="1" applyFont="1" applyFill="1" applyBorder="1" applyAlignment="1" applyProtection="1">
      <alignment horizontal="center" vertical="center" wrapText="1"/>
      <protection locked="0"/>
    </xf>
    <xf numFmtId="10" fontId="28" fillId="0" borderId="4" xfId="54" applyNumberFormat="1" applyFont="1" applyFill="1" applyBorder="1" applyAlignment="1" applyProtection="1">
      <alignment horizontal="center" vertical="center" wrapText="1"/>
      <protection locked="0"/>
    </xf>
    <xf numFmtId="0" fontId="28" fillId="0" borderId="1" xfId="54" applyFont="1" applyFill="1" applyBorder="1" applyAlignment="1" applyProtection="1">
      <alignment horizontal="center" vertical="center" wrapText="1"/>
      <protection locked="0"/>
    </xf>
    <xf numFmtId="0" fontId="28" fillId="0" borderId="5" xfId="54" applyNumberFormat="1" applyFont="1" applyFill="1" applyBorder="1" applyAlignment="1" applyProtection="1">
      <alignment horizontal="center" vertical="center" wrapText="1"/>
      <protection locked="0"/>
    </xf>
    <xf numFmtId="10" fontId="28" fillId="0" borderId="5" xfId="54" applyNumberFormat="1" applyFont="1" applyFill="1" applyBorder="1" applyAlignment="1" applyProtection="1">
      <alignment horizontal="center" vertical="center" wrapText="1"/>
      <protection locked="0"/>
    </xf>
    <xf numFmtId="0" fontId="28" fillId="0" borderId="1" xfId="54" applyNumberFormat="1" applyFont="1" applyFill="1" applyBorder="1" applyAlignment="1">
      <alignment horizontal="center" vertical="center" wrapText="1"/>
    </xf>
    <xf numFmtId="3" fontId="28" fillId="0" borderId="1" xfId="54" applyNumberFormat="1" applyFont="1" applyFill="1" applyBorder="1" applyAlignment="1" applyProtection="1">
      <alignment vertical="center" wrapText="1" shrinkToFit="1"/>
      <protection locked="0"/>
    </xf>
    <xf numFmtId="177" fontId="28" fillId="0" borderId="1" xfId="54" applyNumberFormat="1" applyFont="1" applyFill="1" applyBorder="1" applyAlignment="1" applyProtection="1">
      <alignment horizontal="center" vertical="center" shrinkToFit="1"/>
    </xf>
    <xf numFmtId="10" fontId="28" fillId="0" borderId="1" xfId="12" applyNumberFormat="1" applyFont="1" applyFill="1" applyBorder="1" applyAlignment="1" applyProtection="1">
      <alignment horizontal="center" vertical="center" shrinkToFit="1"/>
    </xf>
    <xf numFmtId="10" fontId="28" fillId="0" borderId="1" xfId="12" applyNumberFormat="1" applyFont="1" applyFill="1" applyBorder="1" applyAlignment="1" applyProtection="1">
      <alignment horizontal="center" vertical="center"/>
    </xf>
    <xf numFmtId="3" fontId="25" fillId="0" borderId="1" xfId="54" applyNumberFormat="1" applyFont="1" applyFill="1" applyBorder="1" applyAlignment="1" applyProtection="1">
      <alignment horizontal="left" vertical="center" wrapText="1" shrinkToFit="1"/>
      <protection locked="0"/>
    </xf>
    <xf numFmtId="177" fontId="25" fillId="0" borderId="1" xfId="54" applyNumberFormat="1" applyFont="1" applyFill="1" applyBorder="1" applyAlignment="1" applyProtection="1">
      <alignment horizontal="center" vertical="center"/>
      <protection locked="0"/>
    </xf>
    <xf numFmtId="10" fontId="25" fillId="0" borderId="1" xfId="12" applyNumberFormat="1" applyFont="1" applyFill="1" applyBorder="1" applyAlignment="1" applyProtection="1">
      <alignment horizontal="center" vertical="center" shrinkToFit="1"/>
    </xf>
    <xf numFmtId="10" fontId="25" fillId="0" borderId="1" xfId="12" applyNumberFormat="1" applyFont="1" applyFill="1" applyBorder="1" applyAlignment="1" applyProtection="1">
      <alignment horizontal="center" vertical="center"/>
    </xf>
    <xf numFmtId="177" fontId="25" fillId="0" borderId="1" xfId="54" applyNumberFormat="1" applyFont="1" applyFill="1" applyBorder="1" applyAlignment="1" applyProtection="1">
      <alignment horizontal="center" vertical="center" shrinkToFit="1"/>
    </xf>
    <xf numFmtId="0" fontId="25" fillId="0" borderId="1" xfId="54" applyFont="1" applyFill="1" applyBorder="1" applyAlignment="1" applyProtection="1">
      <alignment horizontal="left" vertical="center" wrapText="1" shrinkToFit="1"/>
      <protection locked="0"/>
    </xf>
    <xf numFmtId="177" fontId="25" fillId="0" borderId="1" xfId="54" applyNumberFormat="1" applyFont="1" applyFill="1" applyBorder="1" applyAlignment="1" applyProtection="1">
      <alignment horizontal="center" vertical="center" shrinkToFit="1"/>
      <protection locked="0"/>
    </xf>
    <xf numFmtId="177" fontId="28" fillId="0" borderId="1" xfId="54" applyNumberFormat="1" applyFont="1" applyFill="1" applyBorder="1" applyAlignment="1" applyProtection="1">
      <alignment horizontal="center" vertical="center" shrinkToFit="1"/>
      <protection locked="0"/>
    </xf>
    <xf numFmtId="177" fontId="25" fillId="0" borderId="1" xfId="54" applyNumberFormat="1" applyFont="1" applyFill="1" applyBorder="1" applyAlignment="1" applyProtection="1">
      <alignment horizontal="center" vertical="center" wrapText="1"/>
      <protection locked="0"/>
    </xf>
    <xf numFmtId="0" fontId="25" fillId="0" borderId="1" xfId="54" applyFont="1" applyFill="1" applyBorder="1" applyAlignment="1" applyProtection="1">
      <alignment horizontal="center" vertical="center"/>
      <protection locked="0"/>
    </xf>
    <xf numFmtId="3" fontId="25" fillId="0" borderId="1" xfId="54" applyNumberFormat="1" applyFont="1" applyFill="1" applyBorder="1" applyAlignment="1" applyProtection="1">
      <alignment vertical="center" wrapText="1" shrinkToFit="1"/>
      <protection locked="0"/>
    </xf>
    <xf numFmtId="0" fontId="25" fillId="0" borderId="1" xfId="54" applyFont="1" applyFill="1" applyBorder="1" applyAlignment="1" applyProtection="1">
      <alignment horizontal="center" vertical="center" wrapText="1" shrinkToFit="1"/>
      <protection locked="0"/>
    </xf>
    <xf numFmtId="3" fontId="28" fillId="0" borderId="1" xfId="54" applyNumberFormat="1" applyFont="1" applyFill="1" applyBorder="1" applyAlignment="1" applyProtection="1">
      <alignment horizontal="left" vertical="center" wrapText="1" shrinkToFit="1"/>
      <protection locked="0"/>
    </xf>
    <xf numFmtId="0" fontId="32" fillId="0" borderId="0" xfId="54" applyFont="1" applyFill="1" applyAlignment="1" applyProtection="1">
      <alignment horizontal="center" vertical="center"/>
      <protection locked="0"/>
    </xf>
    <xf numFmtId="10" fontId="29" fillId="0" borderId="0" xfId="54" applyNumberFormat="1" applyFont="1" applyFill="1" applyAlignment="1" applyProtection="1">
      <alignment horizontal="center" vertical="center"/>
      <protection locked="0"/>
    </xf>
    <xf numFmtId="0" fontId="33" fillId="0" borderId="0" xfId="54" applyNumberFormat="1" applyFont="1" applyFill="1" applyAlignment="1" applyProtection="1">
      <alignment horizontal="center" vertical="center"/>
      <protection locked="0"/>
    </xf>
    <xf numFmtId="0" fontId="30" fillId="0" borderId="3" xfId="54" applyFont="1" applyFill="1" applyBorder="1" applyAlignment="1" applyProtection="1">
      <alignment horizontal="center" vertical="center" wrapText="1"/>
      <protection locked="0"/>
    </xf>
    <xf numFmtId="0" fontId="30" fillId="0" borderId="2" xfId="54" applyFont="1" applyFill="1" applyBorder="1" applyAlignment="1" applyProtection="1">
      <alignment horizontal="center" vertical="center" wrapText="1"/>
      <protection locked="0"/>
    </xf>
    <xf numFmtId="0" fontId="28" fillId="0" borderId="1" xfId="54" applyFont="1" applyFill="1" applyBorder="1" applyAlignment="1" applyProtection="1">
      <alignment vertical="center"/>
      <protection locked="0"/>
    </xf>
    <xf numFmtId="0" fontId="28" fillId="0" borderId="1" xfId="54" applyFont="1" applyFill="1" applyBorder="1" applyAlignment="1">
      <alignment horizontal="center" vertical="center" wrapText="1"/>
    </xf>
    <xf numFmtId="0" fontId="28" fillId="0" borderId="1" xfId="54" applyNumberFormat="1" applyFont="1" applyFill="1" applyBorder="1" applyAlignment="1" applyProtection="1">
      <alignment horizontal="center" vertical="center" wrapText="1"/>
      <protection locked="0"/>
    </xf>
    <xf numFmtId="10" fontId="30" fillId="0" borderId="1" xfId="12" applyNumberFormat="1" applyFont="1" applyFill="1" applyBorder="1" applyAlignment="1" applyProtection="1">
      <alignment horizontal="center" vertical="center" shrinkToFit="1"/>
      <protection locked="0"/>
    </xf>
    <xf numFmtId="10" fontId="28" fillId="0" borderId="1" xfId="12" applyNumberFormat="1" applyFont="1" applyFill="1" applyBorder="1" applyAlignment="1" applyProtection="1">
      <alignment horizontal="center" vertical="center" shrinkToFit="1"/>
      <protection locked="0"/>
    </xf>
    <xf numFmtId="179" fontId="28" fillId="0" borderId="0" xfId="54" applyNumberFormat="1" applyFont="1" applyFill="1" applyAlignment="1" applyProtection="1">
      <alignment vertical="center"/>
      <protection locked="0"/>
    </xf>
    <xf numFmtId="10" fontId="29" fillId="0" borderId="1" xfId="12" applyNumberFormat="1" applyFont="1" applyFill="1" applyBorder="1" applyAlignment="1" applyProtection="1">
      <alignment horizontal="center" vertical="center" shrinkToFit="1"/>
      <protection locked="0"/>
    </xf>
    <xf numFmtId="10" fontId="25" fillId="0" borderId="1" xfId="12" applyNumberFormat="1" applyFont="1" applyFill="1" applyBorder="1" applyAlignment="1" applyProtection="1">
      <alignment horizontal="center" vertical="center" shrinkToFit="1"/>
      <protection locked="0"/>
    </xf>
    <xf numFmtId="179" fontId="25" fillId="0" borderId="0" xfId="54" applyNumberFormat="1" applyFont="1" applyFill="1" applyAlignment="1" applyProtection="1">
      <alignment vertical="center"/>
      <protection locked="0"/>
    </xf>
    <xf numFmtId="0" fontId="25" fillId="0" borderId="1" xfId="0" applyFont="1" applyFill="1" applyBorder="1" applyAlignment="1">
      <alignment horizontal="left" vertical="center" wrapText="1"/>
    </xf>
    <xf numFmtId="0" fontId="28" fillId="0" borderId="1" xfId="54" applyFont="1" applyFill="1" applyBorder="1" applyAlignment="1" applyProtection="1">
      <alignment horizontal="left" vertical="center" wrapText="1" shrinkToFit="1"/>
      <protection locked="0"/>
    </xf>
    <xf numFmtId="177" fontId="25" fillId="0" borderId="1" xfId="54" applyNumberFormat="1" applyFont="1" applyFill="1" applyBorder="1" applyAlignment="1" applyProtection="1">
      <alignment horizontal="center" vertical="center" wrapText="1"/>
    </xf>
    <xf numFmtId="0" fontId="28" fillId="0" borderId="1" xfId="54" applyFont="1" applyFill="1" applyBorder="1" applyAlignment="1" applyProtection="1">
      <alignment vertical="center" wrapText="1" shrinkToFit="1"/>
      <protection locked="0"/>
    </xf>
    <xf numFmtId="0" fontId="25" fillId="0" borderId="1" xfId="54" applyFont="1" applyFill="1" applyBorder="1" applyAlignment="1" applyProtection="1">
      <alignment vertical="center" wrapText="1" shrinkToFit="1"/>
      <protection locked="0"/>
    </xf>
    <xf numFmtId="177" fontId="25" fillId="0" borderId="0" xfId="54" applyNumberFormat="1" applyFont="1" applyFill="1" applyAlignment="1" applyProtection="1">
      <alignment vertical="center"/>
      <protection locked="0"/>
    </xf>
    <xf numFmtId="0" fontId="28" fillId="0" borderId="1" xfId="54" applyFont="1" applyFill="1" applyBorder="1" applyAlignment="1" applyProtection="1">
      <alignment horizontal="distributed" vertical="center" wrapText="1" shrinkToFit="1"/>
      <protection locked="0"/>
    </xf>
    <xf numFmtId="0" fontId="28" fillId="0" borderId="0" xfId="54" applyFont="1" applyFill="1" applyBorder="1" applyAlignment="1" applyProtection="1">
      <alignment horizontal="center" vertical="center" wrapText="1" shrinkToFit="1"/>
      <protection locked="0"/>
    </xf>
    <xf numFmtId="177" fontId="27" fillId="0" borderId="0" xfId="54" applyNumberFormat="1" applyFont="1" applyFill="1" applyBorder="1" applyAlignment="1" applyProtection="1">
      <alignment horizontal="center" vertical="center" wrapText="1"/>
      <protection locked="0"/>
    </xf>
    <xf numFmtId="177" fontId="25" fillId="0" borderId="0" xfId="54" applyNumberFormat="1" applyFont="1" applyFill="1" applyBorder="1" applyAlignment="1">
      <alignment horizontal="center" vertical="center" wrapText="1"/>
    </xf>
    <xf numFmtId="177" fontId="27" fillId="0" borderId="0" xfId="54" applyNumberFormat="1" applyFont="1" applyFill="1" applyAlignment="1" applyProtection="1">
      <alignment horizontal="center" vertical="center"/>
      <protection locked="0"/>
    </xf>
    <xf numFmtId="0" fontId="27" fillId="0" borderId="0" xfId="0" applyFont="1" applyFill="1" applyBorder="1" applyAlignment="1">
      <alignment horizontal="center" vertical="center"/>
    </xf>
    <xf numFmtId="179" fontId="29" fillId="0" borderId="0" xfId="54" applyNumberFormat="1" applyFont="1" applyFill="1" applyAlignment="1" applyProtection="1">
      <alignment vertical="center"/>
      <protection locked="0"/>
    </xf>
    <xf numFmtId="177" fontId="29" fillId="0" borderId="1" xfId="54" applyNumberFormat="1" applyFont="1" applyFill="1" applyBorder="1" applyAlignment="1" applyProtection="1">
      <alignment horizontal="center" vertical="center"/>
      <protection locked="0"/>
    </xf>
    <xf numFmtId="10" fontId="29" fillId="0" borderId="0" xfId="12" applyNumberFormat="1" applyFont="1" applyFill="1" applyBorder="1" applyAlignment="1" applyProtection="1">
      <alignment horizontal="center" vertical="center" wrapText="1"/>
    </xf>
    <xf numFmtId="179" fontId="27" fillId="0" borderId="0" xfId="54" applyNumberFormat="1" applyFont="1" applyFill="1" applyAlignment="1" applyProtection="1">
      <alignment vertical="center"/>
      <protection locked="0"/>
    </xf>
    <xf numFmtId="10" fontId="29" fillId="0" borderId="0" xfId="12" applyNumberFormat="1" applyFont="1" applyFill="1" applyBorder="1" applyAlignment="1" applyProtection="1">
      <alignment horizontal="center" vertical="center"/>
      <protection locked="0"/>
    </xf>
    <xf numFmtId="0" fontId="18" fillId="0" borderId="0" xfId="0" applyFont="1" applyFill="1" applyBorder="1" applyAlignment="1">
      <alignment vertical="center"/>
    </xf>
    <xf numFmtId="0" fontId="34" fillId="0" borderId="0" xfId="54" applyFont="1" applyFill="1" applyAlignment="1" applyProtection="1">
      <alignment vertical="center"/>
      <protection locked="0"/>
    </xf>
    <xf numFmtId="0" fontId="11" fillId="0" borderId="0" xfId="54" applyFont="1" applyFill="1" applyAlignment="1" applyProtection="1">
      <alignment vertical="center"/>
      <protection locked="0"/>
    </xf>
    <xf numFmtId="0" fontId="19" fillId="0" borderId="0" xfId="54" applyFont="1" applyFill="1" applyAlignment="1" applyProtection="1">
      <alignment vertical="center"/>
      <protection locked="0"/>
    </xf>
    <xf numFmtId="0" fontId="18" fillId="0" borderId="0" xfId="54" applyFont="1" applyFill="1" applyAlignment="1" applyProtection="1">
      <alignment vertical="center"/>
      <protection locked="0"/>
    </xf>
    <xf numFmtId="0" fontId="22" fillId="0" borderId="0" xfId="54" applyFont="1" applyFill="1" applyAlignment="1" applyProtection="1">
      <alignment vertical="center"/>
      <protection locked="0"/>
    </xf>
    <xf numFmtId="0" fontId="21" fillId="0" borderId="0" xfId="54" applyFont="1" applyFill="1" applyAlignment="1" applyProtection="1">
      <alignment vertical="center"/>
      <protection locked="0"/>
    </xf>
    <xf numFmtId="178" fontId="18" fillId="0" borderId="0" xfId="0" applyNumberFormat="1" applyFont="1" applyFill="1" applyBorder="1" applyAlignment="1">
      <alignment vertical="center"/>
    </xf>
    <xf numFmtId="0" fontId="35" fillId="0" borderId="0" xfId="54" applyFont="1" applyFill="1" applyAlignment="1" applyProtection="1">
      <alignment horizontal="center" vertical="center"/>
      <protection locked="0"/>
    </xf>
    <xf numFmtId="0" fontId="11" fillId="0" borderId="0" xfId="54" applyNumberFormat="1" applyFont="1" applyFill="1" applyAlignment="1" applyProtection="1">
      <alignment horizontal="center" vertical="center"/>
      <protection locked="0"/>
    </xf>
    <xf numFmtId="10" fontId="11" fillId="0" borderId="0" xfId="54" applyNumberFormat="1" applyFont="1" applyFill="1" applyAlignment="1" applyProtection="1">
      <alignment horizontal="center" vertical="center"/>
      <protection locked="0"/>
    </xf>
    <xf numFmtId="0" fontId="20" fillId="0" borderId="1" xfId="54" applyFont="1" applyFill="1" applyBorder="1" applyAlignment="1" applyProtection="1">
      <alignment horizontal="center" vertical="center"/>
      <protection locked="0"/>
    </xf>
    <xf numFmtId="0" fontId="20" fillId="0" borderId="1" xfId="54" applyNumberFormat="1" applyFont="1" applyFill="1" applyBorder="1" applyAlignment="1" applyProtection="1">
      <alignment horizontal="center" vertical="center" wrapText="1"/>
      <protection locked="0"/>
    </xf>
    <xf numFmtId="0" fontId="20" fillId="0" borderId="1" xfId="54" applyFont="1" applyFill="1" applyBorder="1" applyAlignment="1">
      <alignment horizontal="center" vertical="center" wrapText="1"/>
    </xf>
    <xf numFmtId="10" fontId="20" fillId="0" borderId="1" xfId="54" applyNumberFormat="1" applyFont="1" applyFill="1" applyBorder="1" applyAlignment="1" applyProtection="1">
      <alignment horizontal="center" vertical="center" wrapText="1"/>
      <protection locked="0"/>
    </xf>
    <xf numFmtId="10" fontId="20" fillId="0" borderId="1" xfId="54" applyNumberFormat="1" applyFont="1" applyFill="1" applyBorder="1" applyAlignment="1">
      <alignment horizontal="center" vertical="center" wrapText="1"/>
    </xf>
    <xf numFmtId="0" fontId="20" fillId="0" borderId="1" xfId="54" applyFont="1" applyFill="1" applyBorder="1" applyAlignment="1" applyProtection="1">
      <alignment horizontal="center" vertical="center" wrapText="1"/>
      <protection locked="0"/>
    </xf>
    <xf numFmtId="0" fontId="20" fillId="0" borderId="1" xfId="54" applyNumberFormat="1" applyFont="1" applyFill="1" applyBorder="1" applyAlignment="1">
      <alignment horizontal="center" vertical="center" wrapText="1"/>
    </xf>
    <xf numFmtId="3" fontId="11" fillId="0" borderId="1" xfId="54" applyNumberFormat="1" applyFont="1" applyFill="1" applyBorder="1" applyAlignment="1" applyProtection="1">
      <alignment vertical="center" shrinkToFit="1"/>
      <protection locked="0"/>
    </xf>
    <xf numFmtId="10" fontId="11" fillId="0" borderId="1" xfId="54" applyNumberFormat="1" applyFont="1" applyFill="1" applyBorder="1" applyAlignment="1">
      <alignment horizontal="center" vertical="center"/>
    </xf>
    <xf numFmtId="177" fontId="11" fillId="0" borderId="1" xfId="54" applyNumberFormat="1" applyFont="1" applyFill="1" applyBorder="1" applyAlignment="1" applyProtection="1">
      <alignment horizontal="center" vertical="center" wrapText="1"/>
      <protection locked="0"/>
    </xf>
    <xf numFmtId="177" fontId="11" fillId="0" borderId="1" xfId="42" applyNumberFormat="1" applyFont="1" applyFill="1" applyBorder="1" applyAlignment="1">
      <alignment horizontal="right" vertical="center" wrapText="1"/>
    </xf>
    <xf numFmtId="0" fontId="11" fillId="0" borderId="1" xfId="54" applyFont="1" applyFill="1" applyBorder="1" applyAlignment="1" applyProtection="1">
      <alignment vertical="center" shrinkToFit="1"/>
      <protection locked="0"/>
    </xf>
    <xf numFmtId="177" fontId="11" fillId="0" borderId="1" xfId="42" applyNumberFormat="1" applyFont="1" applyFill="1" applyBorder="1" applyAlignment="1">
      <alignment horizontal="right"/>
    </xf>
    <xf numFmtId="0" fontId="20" fillId="0" borderId="1" xfId="54" applyFont="1" applyFill="1" applyBorder="1" applyAlignment="1" applyProtection="1">
      <alignment horizontal="center" vertical="center" shrinkToFit="1"/>
      <protection locked="0"/>
    </xf>
    <xf numFmtId="177" fontId="20" fillId="0" borderId="1" xfId="54" applyNumberFormat="1" applyFont="1" applyFill="1" applyBorder="1" applyAlignment="1" applyProtection="1">
      <alignment horizontal="center" vertical="center"/>
      <protection locked="0"/>
    </xf>
    <xf numFmtId="0" fontId="20" fillId="0" borderId="1" xfId="54" applyFont="1" applyFill="1" applyBorder="1" applyAlignment="1" applyProtection="1">
      <alignment vertical="center" shrinkToFit="1"/>
      <protection locked="0"/>
    </xf>
    <xf numFmtId="0" fontId="20" fillId="0" borderId="1" xfId="54" applyNumberFormat="1" applyFont="1" applyFill="1" applyBorder="1" applyAlignment="1" applyProtection="1">
      <alignment horizontal="center" vertical="center"/>
      <protection locked="0"/>
    </xf>
    <xf numFmtId="0" fontId="20" fillId="0" borderId="1" xfId="54" applyFont="1" applyFill="1" applyBorder="1" applyAlignment="1" applyProtection="1">
      <alignment horizontal="distributed" vertical="center" shrinkToFit="1"/>
      <protection locked="0"/>
    </xf>
    <xf numFmtId="178" fontId="35" fillId="0" borderId="0" xfId="54" applyNumberFormat="1" applyFont="1" applyFill="1" applyAlignment="1" applyProtection="1">
      <alignment horizontal="center" vertical="center"/>
      <protection locked="0"/>
    </xf>
    <xf numFmtId="178" fontId="11" fillId="0" borderId="0" xfId="54" applyNumberFormat="1" applyFont="1" applyFill="1" applyAlignment="1" applyProtection="1">
      <alignment horizontal="center" vertical="center"/>
      <protection locked="0"/>
    </xf>
    <xf numFmtId="178" fontId="20" fillId="0" borderId="1" xfId="54" applyNumberFormat="1" applyFont="1" applyFill="1" applyBorder="1" applyAlignment="1" applyProtection="1">
      <alignment horizontal="center" vertical="center"/>
      <protection locked="0"/>
    </xf>
    <xf numFmtId="178" fontId="20" fillId="0" borderId="1" xfId="54" applyNumberFormat="1" applyFont="1" applyFill="1" applyBorder="1" applyAlignment="1" applyProtection="1">
      <alignment horizontal="center" vertical="center" wrapText="1"/>
      <protection locked="0"/>
    </xf>
    <xf numFmtId="178" fontId="20" fillId="0" borderId="1" xfId="54" applyNumberFormat="1" applyFont="1" applyFill="1" applyBorder="1" applyAlignment="1">
      <alignment horizontal="center" vertical="center" wrapText="1"/>
    </xf>
    <xf numFmtId="178" fontId="11" fillId="0" borderId="1" xfId="54" applyNumberFormat="1" applyFont="1" applyFill="1" applyBorder="1" applyAlignment="1" applyProtection="1">
      <alignment horizontal="center" vertical="center" wrapText="1"/>
      <protection locked="0"/>
    </xf>
    <xf numFmtId="10" fontId="11" fillId="0" borderId="1" xfId="12" applyNumberFormat="1" applyFont="1" applyFill="1" applyBorder="1" applyAlignment="1" applyProtection="1">
      <alignment horizontal="center" vertical="center" wrapText="1"/>
      <protection locked="0"/>
    </xf>
    <xf numFmtId="10" fontId="20" fillId="0" borderId="1" xfId="54" applyNumberFormat="1" applyFont="1" applyFill="1" applyBorder="1" applyAlignment="1">
      <alignment horizontal="center" vertical="center"/>
    </xf>
    <xf numFmtId="177" fontId="20" fillId="0" borderId="1" xfId="54" applyNumberFormat="1" applyFont="1" applyFill="1" applyBorder="1" applyAlignment="1" applyProtection="1">
      <alignment horizontal="center" vertical="center" wrapText="1"/>
      <protection locked="0"/>
    </xf>
    <xf numFmtId="10" fontId="20" fillId="0" borderId="1" xfId="12" applyNumberFormat="1" applyFont="1" applyFill="1" applyBorder="1" applyAlignment="1" applyProtection="1">
      <alignment horizontal="center" vertical="center" wrapText="1"/>
      <protection locked="0"/>
    </xf>
    <xf numFmtId="0" fontId="11" fillId="0" borderId="0" xfId="54" applyFont="1" applyFill="1" applyAlignment="1" applyProtection="1">
      <alignment horizontal="center" vertical="center"/>
      <protection locked="0"/>
    </xf>
    <xf numFmtId="178" fontId="11" fillId="0" borderId="0" xfId="0" applyNumberFormat="1" applyFont="1" applyFill="1" applyBorder="1" applyAlignment="1">
      <alignment vertical="center"/>
    </xf>
    <xf numFmtId="0" fontId="36" fillId="0" borderId="0" xfId="0" applyFont="1" applyFill="1" applyBorder="1" applyAlignment="1">
      <alignment vertical="center"/>
    </xf>
    <xf numFmtId="0" fontId="37" fillId="0" borderId="0" xfId="0" applyFont="1" applyFill="1" applyBorder="1" applyAlignment="1">
      <alignment vertical="center"/>
    </xf>
    <xf numFmtId="0" fontId="38" fillId="0" borderId="0" xfId="0" applyFont="1" applyFill="1" applyBorder="1" applyAlignment="1">
      <alignment vertical="center"/>
    </xf>
    <xf numFmtId="0" fontId="36" fillId="0" borderId="0" xfId="0" applyFont="1" applyFill="1" applyBorder="1" applyAlignment="1">
      <alignment horizontal="center" vertical="center"/>
    </xf>
    <xf numFmtId="0" fontId="11" fillId="0" borderId="0" xfId="0" applyFont="1" applyFill="1" applyBorder="1" applyAlignment="1">
      <alignment horizontal="left"/>
    </xf>
    <xf numFmtId="0" fontId="39" fillId="0" borderId="0" xfId="0" applyNumberFormat="1" applyFont="1" applyFill="1" applyBorder="1" applyAlignment="1" applyProtection="1">
      <alignment horizontal="center"/>
    </xf>
    <xf numFmtId="0" fontId="11" fillId="0" borderId="0" xfId="0" applyFont="1" applyFill="1" applyBorder="1" applyAlignment="1">
      <alignment horizontal="center"/>
    </xf>
    <xf numFmtId="0" fontId="37" fillId="0" borderId="4" xfId="0" applyNumberFormat="1" applyFont="1" applyFill="1" applyBorder="1" applyAlignment="1" applyProtection="1">
      <alignment horizontal="center" vertical="center"/>
    </xf>
    <xf numFmtId="0" fontId="37" fillId="0" borderId="1" xfId="0" applyNumberFormat="1" applyFont="1" applyFill="1" applyBorder="1" applyAlignment="1" applyProtection="1">
      <alignment horizontal="center" vertical="center"/>
    </xf>
    <xf numFmtId="0" fontId="37" fillId="0" borderId="1" xfId="0" applyFont="1" applyFill="1" applyBorder="1" applyAlignment="1">
      <alignment horizontal="center" vertical="center"/>
    </xf>
    <xf numFmtId="49" fontId="38" fillId="3" borderId="1" xfId="0" applyNumberFormat="1" applyFont="1" applyFill="1" applyBorder="1" applyAlignment="1" applyProtection="1"/>
    <xf numFmtId="3" fontId="38" fillId="3" borderId="6" xfId="0" applyNumberFormat="1" applyFont="1" applyFill="1" applyBorder="1" applyAlignment="1" applyProtection="1">
      <alignment horizontal="center"/>
    </xf>
    <xf numFmtId="3" fontId="38" fillId="3" borderId="1" xfId="0" applyNumberFormat="1" applyFont="1" applyFill="1" applyBorder="1" applyAlignment="1" applyProtection="1">
      <alignment horizontal="center"/>
    </xf>
    <xf numFmtId="49" fontId="11" fillId="4" borderId="1" xfId="0" applyNumberFormat="1" applyFont="1" applyFill="1" applyBorder="1" applyAlignment="1" applyProtection="1"/>
    <xf numFmtId="3" fontId="11" fillId="4" borderId="6" xfId="0" applyNumberFormat="1" applyFont="1" applyFill="1" applyBorder="1" applyAlignment="1" applyProtection="1">
      <alignment horizontal="center"/>
    </xf>
    <xf numFmtId="3" fontId="11" fillId="4" borderId="1" xfId="0" applyNumberFormat="1" applyFont="1" applyFill="1" applyBorder="1" applyAlignment="1" applyProtection="1">
      <alignment horizontal="center"/>
    </xf>
    <xf numFmtId="49" fontId="11" fillId="0" borderId="1" xfId="0" applyNumberFormat="1" applyFont="1" applyFill="1" applyBorder="1" applyAlignment="1" applyProtection="1"/>
    <xf numFmtId="3" fontId="11" fillId="0" borderId="6" xfId="0" applyNumberFormat="1" applyFont="1" applyFill="1" applyBorder="1" applyAlignment="1" applyProtection="1">
      <alignment horizontal="center"/>
    </xf>
    <xf numFmtId="3" fontId="11" fillId="0" borderId="1" xfId="0" applyNumberFormat="1" applyFont="1" applyFill="1" applyBorder="1" applyAlignment="1" applyProtection="1">
      <alignment horizontal="center"/>
    </xf>
    <xf numFmtId="49" fontId="11" fillId="0" borderId="1" xfId="0" applyNumberFormat="1" applyFont="1" applyFill="1" applyBorder="1" applyAlignment="1" applyProtection="1">
      <alignment wrapText="1"/>
    </xf>
    <xf numFmtId="0" fontId="36" fillId="0" borderId="0" xfId="0" applyFont="1" applyFill="1" applyBorder="1" applyAlignment="1"/>
    <xf numFmtId="0" fontId="40" fillId="0" borderId="0" xfId="0" applyFont="1" applyFill="1" applyBorder="1" applyAlignment="1"/>
    <xf numFmtId="0" fontId="41" fillId="0" borderId="0" xfId="0" applyFont="1" applyFill="1" applyBorder="1" applyAlignment="1"/>
    <xf numFmtId="0" fontId="36" fillId="0" borderId="0" xfId="0" applyFont="1" applyFill="1" applyBorder="1" applyAlignment="1">
      <alignment wrapText="1"/>
    </xf>
    <xf numFmtId="0" fontId="11" fillId="0" borderId="0" xfId="0" applyFont="1" applyFill="1" applyAlignment="1">
      <alignment horizontal="left" wrapText="1"/>
    </xf>
    <xf numFmtId="0" fontId="36" fillId="0" borderId="0" xfId="0" applyFont="1" applyFill="1" applyAlignment="1">
      <alignment horizontal="left" wrapText="1"/>
    </xf>
    <xf numFmtId="0" fontId="42" fillId="0" borderId="0" xfId="0" applyNumberFormat="1" applyFont="1" applyFill="1" applyBorder="1" applyAlignment="1" applyProtection="1">
      <alignment horizontal="centerContinuous" vertical="center" wrapText="1"/>
    </xf>
    <xf numFmtId="0" fontId="42" fillId="0" borderId="0" xfId="0" applyNumberFormat="1" applyFont="1" applyFill="1" applyBorder="1" applyAlignment="1" applyProtection="1">
      <alignment horizontal="centerContinuous" vertical="center"/>
    </xf>
    <xf numFmtId="0" fontId="43" fillId="0" borderId="0" xfId="0" applyFont="1" applyFill="1" applyBorder="1" applyAlignment="1">
      <alignment horizontal="center" vertical="center" wrapText="1"/>
    </xf>
    <xf numFmtId="0" fontId="43" fillId="0" borderId="0" xfId="0" applyFont="1" applyFill="1" applyBorder="1" applyAlignment="1">
      <alignment horizontal="center" vertical="center"/>
    </xf>
    <xf numFmtId="0" fontId="36" fillId="0" borderId="0" xfId="0" applyFont="1" applyFill="1" applyBorder="1" applyAlignment="1">
      <alignment horizontal="center" vertical="center" wrapText="1"/>
    </xf>
    <xf numFmtId="0" fontId="41" fillId="0" borderId="0" xfId="0" applyNumberFormat="1" applyFont="1" applyFill="1" applyBorder="1" applyAlignment="1" applyProtection="1">
      <alignment vertical="center"/>
    </xf>
    <xf numFmtId="0" fontId="41" fillId="0" borderId="2" xfId="0" applyNumberFormat="1" applyFont="1" applyFill="1" applyBorder="1" applyAlignment="1" applyProtection="1">
      <alignment horizontal="center" vertical="center" wrapText="1"/>
    </xf>
    <xf numFmtId="0" fontId="41" fillId="0" borderId="1" xfId="0" applyNumberFormat="1" applyFont="1" applyFill="1" applyBorder="1" applyAlignment="1" applyProtection="1">
      <alignment horizontal="center" vertical="center" wrapText="1"/>
    </xf>
    <xf numFmtId="0" fontId="41" fillId="0" borderId="7"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8" xfId="0" applyFont="1" applyFill="1" applyBorder="1" applyAlignment="1">
      <alignment horizontal="center" vertical="center"/>
    </xf>
    <xf numFmtId="0" fontId="36" fillId="0" borderId="4" xfId="0" applyFont="1" applyFill="1" applyBorder="1" applyAlignment="1">
      <alignment horizontal="center" vertical="center" wrapText="1"/>
    </xf>
    <xf numFmtId="49" fontId="36" fillId="3" borderId="2" xfId="0" applyNumberFormat="1" applyFont="1" applyFill="1" applyBorder="1" applyAlignment="1" applyProtection="1">
      <alignment horizontal="left" vertical="center" wrapText="1"/>
    </xf>
    <xf numFmtId="49" fontId="36" fillId="3" borderId="1" xfId="0" applyNumberFormat="1" applyFont="1" applyFill="1" applyBorder="1" applyAlignment="1" applyProtection="1">
      <alignment horizontal="left" vertical="center" wrapText="1"/>
    </xf>
    <xf numFmtId="49" fontId="36" fillId="3" borderId="3" xfId="0" applyNumberFormat="1" applyFont="1" applyFill="1" applyBorder="1" applyAlignment="1" applyProtection="1">
      <alignment horizontal="left" vertical="center"/>
    </xf>
    <xf numFmtId="4" fontId="36" fillId="3" borderId="2" xfId="0" applyNumberFormat="1" applyFont="1" applyFill="1" applyBorder="1" applyAlignment="1" applyProtection="1">
      <alignment horizontal="right" vertical="center"/>
    </xf>
    <xf numFmtId="4" fontId="36" fillId="3" borderId="1" xfId="0" applyNumberFormat="1" applyFont="1" applyFill="1" applyBorder="1" applyAlignment="1" applyProtection="1">
      <alignment horizontal="right" vertical="center"/>
    </xf>
    <xf numFmtId="4" fontId="36" fillId="3" borderId="3" xfId="0" applyNumberFormat="1" applyFont="1" applyFill="1" applyBorder="1" applyAlignment="1" applyProtection="1">
      <alignment horizontal="right" vertical="center"/>
    </xf>
    <xf numFmtId="49" fontId="36" fillId="4" borderId="2" xfId="0" applyNumberFormat="1" applyFont="1" applyFill="1" applyBorder="1" applyAlignment="1" applyProtection="1">
      <alignment horizontal="left" vertical="center" wrapText="1"/>
    </xf>
    <xf numFmtId="49" fontId="36" fillId="4" borderId="1" xfId="0" applyNumberFormat="1" applyFont="1" applyFill="1" applyBorder="1" applyAlignment="1" applyProtection="1">
      <alignment horizontal="left" vertical="center" wrapText="1"/>
    </xf>
    <xf numFmtId="49" fontId="36" fillId="4" borderId="3" xfId="0" applyNumberFormat="1" applyFont="1" applyFill="1" applyBorder="1" applyAlignment="1" applyProtection="1">
      <alignment horizontal="left" vertical="center"/>
    </xf>
    <xf numFmtId="4" fontId="36" fillId="4" borderId="2" xfId="0" applyNumberFormat="1" applyFont="1" applyFill="1" applyBorder="1" applyAlignment="1" applyProtection="1">
      <alignment horizontal="right" vertical="center"/>
    </xf>
    <xf numFmtId="4" fontId="36" fillId="4" borderId="1" xfId="0" applyNumberFormat="1" applyFont="1" applyFill="1" applyBorder="1" applyAlignment="1" applyProtection="1">
      <alignment horizontal="right" vertical="center"/>
    </xf>
    <xf numFmtId="4" fontId="36" fillId="4" borderId="3" xfId="0" applyNumberFormat="1" applyFont="1" applyFill="1" applyBorder="1" applyAlignment="1" applyProtection="1">
      <alignment horizontal="right" vertical="center"/>
    </xf>
    <xf numFmtId="49" fontId="36" fillId="5" borderId="2" xfId="0" applyNumberFormat="1" applyFont="1" applyFill="1" applyBorder="1" applyAlignment="1" applyProtection="1">
      <alignment horizontal="left" vertical="center" wrapText="1"/>
    </xf>
    <xf numFmtId="49" fontId="36" fillId="5" borderId="1" xfId="0" applyNumberFormat="1" applyFont="1" applyFill="1" applyBorder="1" applyAlignment="1" applyProtection="1">
      <alignment horizontal="left" vertical="center" wrapText="1"/>
    </xf>
    <xf numFmtId="49" fontId="36" fillId="5" borderId="3" xfId="0" applyNumberFormat="1" applyFont="1" applyFill="1" applyBorder="1" applyAlignment="1" applyProtection="1">
      <alignment horizontal="left" vertical="center"/>
    </xf>
    <xf numFmtId="4" fontId="36" fillId="5" borderId="2" xfId="0" applyNumberFormat="1" applyFont="1" applyFill="1" applyBorder="1" applyAlignment="1" applyProtection="1">
      <alignment horizontal="right" vertical="center"/>
    </xf>
    <xf numFmtId="4" fontId="36" fillId="5" borderId="1" xfId="0" applyNumberFormat="1" applyFont="1" applyFill="1" applyBorder="1" applyAlignment="1" applyProtection="1">
      <alignment horizontal="right" vertical="center"/>
    </xf>
    <xf numFmtId="4" fontId="36" fillId="5" borderId="3" xfId="0" applyNumberFormat="1" applyFont="1" applyFill="1" applyBorder="1" applyAlignment="1" applyProtection="1">
      <alignment horizontal="right" vertical="center"/>
    </xf>
    <xf numFmtId="49" fontId="36" fillId="6" borderId="2" xfId="0" applyNumberFormat="1" applyFont="1" applyFill="1" applyBorder="1" applyAlignment="1" applyProtection="1">
      <alignment horizontal="left" vertical="center" wrapText="1"/>
    </xf>
    <xf numFmtId="49" fontId="36" fillId="6" borderId="1" xfId="0" applyNumberFormat="1" applyFont="1" applyFill="1" applyBorder="1" applyAlignment="1" applyProtection="1">
      <alignment horizontal="left" vertical="center" wrapText="1"/>
    </xf>
    <xf numFmtId="49" fontId="36" fillId="6" borderId="3" xfId="0" applyNumberFormat="1" applyFont="1" applyFill="1" applyBorder="1" applyAlignment="1" applyProtection="1">
      <alignment horizontal="left" vertical="center"/>
    </xf>
    <xf numFmtId="4" fontId="36" fillId="6" borderId="2" xfId="0" applyNumberFormat="1" applyFont="1" applyFill="1" applyBorder="1" applyAlignment="1" applyProtection="1">
      <alignment horizontal="right" vertical="center"/>
    </xf>
    <xf numFmtId="4" fontId="36" fillId="6" borderId="1" xfId="0" applyNumberFormat="1" applyFont="1" applyFill="1" applyBorder="1" applyAlignment="1" applyProtection="1">
      <alignment horizontal="right" vertical="center"/>
    </xf>
    <xf numFmtId="4" fontId="36" fillId="6" borderId="3" xfId="0" applyNumberFormat="1" applyFont="1" applyFill="1" applyBorder="1" applyAlignment="1" applyProtection="1">
      <alignment horizontal="right" vertical="center"/>
    </xf>
    <xf numFmtId="49" fontId="36" fillId="0" borderId="2" xfId="0" applyNumberFormat="1" applyFont="1" applyFill="1" applyBorder="1" applyAlignment="1" applyProtection="1">
      <alignment horizontal="left" vertical="center" wrapText="1"/>
    </xf>
    <xf numFmtId="49" fontId="36" fillId="0" borderId="1" xfId="0" applyNumberFormat="1" applyFont="1" applyFill="1" applyBorder="1" applyAlignment="1" applyProtection="1">
      <alignment horizontal="left" vertical="center" wrapText="1"/>
    </xf>
    <xf numFmtId="49" fontId="36" fillId="0" borderId="3" xfId="0" applyNumberFormat="1" applyFont="1" applyFill="1" applyBorder="1" applyAlignment="1" applyProtection="1">
      <alignment horizontal="left" vertical="center"/>
    </xf>
    <xf numFmtId="4" fontId="36" fillId="0" borderId="2" xfId="0" applyNumberFormat="1" applyFont="1" applyFill="1" applyBorder="1" applyAlignment="1" applyProtection="1">
      <alignment horizontal="right" vertical="center"/>
    </xf>
    <xf numFmtId="4" fontId="36" fillId="0" borderId="1" xfId="0" applyNumberFormat="1" applyFont="1" applyFill="1" applyBorder="1" applyAlignment="1" applyProtection="1">
      <alignment horizontal="right" vertical="center"/>
    </xf>
    <xf numFmtId="4" fontId="36" fillId="0" borderId="3" xfId="0" applyNumberFormat="1" applyFont="1" applyFill="1" applyBorder="1" applyAlignment="1" applyProtection="1">
      <alignment horizontal="right" vertical="center"/>
    </xf>
    <xf numFmtId="49" fontId="36" fillId="0" borderId="3" xfId="0" applyNumberFormat="1" applyFont="1" applyFill="1" applyBorder="1" applyAlignment="1" applyProtection="1">
      <alignment horizontal="left" vertical="center" wrapText="1"/>
    </xf>
    <xf numFmtId="49" fontId="36" fillId="0" borderId="3" xfId="0" applyNumberFormat="1" applyFont="1" applyFill="1" applyBorder="1" applyAlignment="1" applyProtection="1">
      <alignment horizontal="center" vertical="center"/>
    </xf>
    <xf numFmtId="0" fontId="44" fillId="0" borderId="0" xfId="0" applyFont="1" applyFill="1" applyBorder="1" applyAlignment="1">
      <alignment horizontal="centerContinuous" vertical="center"/>
    </xf>
    <xf numFmtId="0" fontId="22" fillId="0" borderId="0" xfId="0" applyFont="1" applyFill="1" applyBorder="1" applyAlignment="1">
      <alignment horizontal="center"/>
    </xf>
    <xf numFmtId="0" fontId="41" fillId="0" borderId="2" xfId="0" applyNumberFormat="1" applyFont="1" applyFill="1" applyBorder="1" applyAlignment="1" applyProtection="1">
      <alignment horizontal="centerContinuous" vertical="center"/>
    </xf>
    <xf numFmtId="0" fontId="41" fillId="0" borderId="3" xfId="0" applyNumberFormat="1" applyFont="1" applyFill="1" applyBorder="1" applyAlignment="1" applyProtection="1">
      <alignment horizontal="centerContinuous" vertical="center"/>
    </xf>
    <xf numFmtId="0" fontId="41" fillId="0" borderId="6" xfId="0" applyNumberFormat="1" applyFont="1" applyFill="1" applyBorder="1" applyAlignment="1" applyProtection="1">
      <alignment horizontal="centerContinuous" vertical="center"/>
    </xf>
    <xf numFmtId="0" fontId="41" fillId="0" borderId="6" xfId="0" applyNumberFormat="1" applyFont="1" applyFill="1" applyBorder="1" applyAlignment="1" applyProtection="1">
      <alignment horizontal="center" vertical="center" wrapText="1"/>
    </xf>
    <xf numFmtId="0" fontId="41" fillId="0" borderId="9" xfId="0" applyFont="1" applyFill="1" applyBorder="1" applyAlignment="1">
      <alignment horizontal="center" vertical="center" wrapText="1"/>
    </xf>
    <xf numFmtId="4" fontId="36" fillId="3" borderId="6" xfId="0" applyNumberFormat="1" applyFont="1" applyFill="1" applyBorder="1" applyAlignment="1" applyProtection="1">
      <alignment horizontal="right" vertical="center"/>
    </xf>
    <xf numFmtId="1" fontId="36" fillId="3" borderId="1" xfId="0" applyNumberFormat="1" applyFont="1" applyFill="1" applyBorder="1" applyAlignment="1" applyProtection="1">
      <alignment vertical="center" wrapText="1"/>
    </xf>
    <xf numFmtId="4" fontId="36" fillId="4" borderId="6" xfId="0" applyNumberFormat="1" applyFont="1" applyFill="1" applyBorder="1" applyAlignment="1" applyProtection="1">
      <alignment horizontal="right" vertical="center"/>
    </xf>
    <xf numFmtId="1" fontId="36" fillId="4" borderId="1" xfId="0" applyNumberFormat="1" applyFont="1" applyFill="1" applyBorder="1" applyAlignment="1" applyProtection="1">
      <alignment vertical="center" wrapText="1"/>
    </xf>
    <xf numFmtId="4" fontId="36" fillId="5" borderId="6" xfId="0" applyNumberFormat="1" applyFont="1" applyFill="1" applyBorder="1" applyAlignment="1" applyProtection="1">
      <alignment horizontal="right" vertical="center"/>
    </xf>
    <xf numFmtId="1" fontId="36" fillId="5" borderId="1" xfId="0" applyNumberFormat="1" applyFont="1" applyFill="1" applyBorder="1" applyAlignment="1" applyProtection="1">
      <alignment vertical="center" wrapText="1"/>
    </xf>
    <xf numFmtId="4" fontId="36" fillId="6" borderId="6" xfId="0" applyNumberFormat="1" applyFont="1" applyFill="1" applyBorder="1" applyAlignment="1" applyProtection="1">
      <alignment horizontal="right" vertical="center"/>
    </xf>
    <xf numFmtId="1" fontId="36" fillId="6" borderId="1" xfId="0" applyNumberFormat="1" applyFont="1" applyFill="1" applyBorder="1" applyAlignment="1" applyProtection="1">
      <alignment vertical="center" wrapText="1"/>
    </xf>
    <xf numFmtId="4" fontId="36" fillId="0" borderId="6" xfId="0" applyNumberFormat="1" applyFont="1" applyFill="1" applyBorder="1" applyAlignment="1" applyProtection="1">
      <alignment horizontal="right" vertical="center"/>
    </xf>
    <xf numFmtId="1" fontId="36" fillId="0" borderId="1" xfId="0" applyNumberFormat="1" applyFont="1" applyFill="1" applyBorder="1" applyAlignment="1" applyProtection="1">
      <alignment vertical="center" wrapText="1"/>
    </xf>
    <xf numFmtId="49" fontId="36" fillId="5" borderId="3" xfId="0" applyNumberFormat="1" applyFont="1" applyFill="1" applyBorder="1" applyAlignment="1" applyProtection="1">
      <alignment horizontal="left" vertical="center" wrapText="1"/>
    </xf>
    <xf numFmtId="49" fontId="36" fillId="6" borderId="3" xfId="0" applyNumberFormat="1" applyFont="1" applyFill="1" applyBorder="1" applyAlignment="1" applyProtection="1">
      <alignment horizontal="left" vertical="center" wrapText="1"/>
    </xf>
    <xf numFmtId="0" fontId="1" fillId="0" borderId="0" xfId="0" applyFont="1" applyFill="1" applyBorder="1" applyAlignment="1"/>
    <xf numFmtId="0" fontId="18" fillId="0" borderId="0" xfId="0" applyFont="1" applyFill="1" applyBorder="1" applyAlignment="1"/>
    <xf numFmtId="0" fontId="1" fillId="0" borderId="0" xfId="0" applyFont="1" applyFill="1" applyBorder="1" applyAlignment="1">
      <alignment horizontal="center"/>
    </xf>
    <xf numFmtId="0" fontId="23" fillId="0" borderId="0" xfId="53" applyFont="1" applyFill="1" applyAlignment="1">
      <alignment horizontal="center"/>
    </xf>
    <xf numFmtId="0" fontId="11" fillId="0" borderId="0" xfId="53" applyFont="1" applyFill="1">
      <alignment vertical="center"/>
    </xf>
    <xf numFmtId="0" fontId="11" fillId="0" borderId="0" xfId="53" applyFont="1" applyFill="1" applyAlignment="1">
      <alignment horizontal="center" vertical="center"/>
    </xf>
    <xf numFmtId="0" fontId="11" fillId="0" borderId="10" xfId="53" applyFont="1" applyFill="1" applyBorder="1" applyAlignment="1">
      <alignment horizontal="center"/>
    </xf>
    <xf numFmtId="0" fontId="45" fillId="0" borderId="4" xfId="53" applyFont="1" applyFill="1" applyBorder="1" applyAlignment="1">
      <alignment horizontal="center" vertical="center"/>
    </xf>
    <xf numFmtId="0" fontId="20" fillId="0" borderId="4" xfId="53" applyFont="1" applyFill="1" applyBorder="1" applyAlignment="1">
      <alignment horizontal="center" vertical="center" wrapText="1"/>
    </xf>
    <xf numFmtId="0" fontId="20" fillId="0" borderId="2" xfId="53" applyFont="1" applyFill="1" applyBorder="1" applyAlignment="1">
      <alignment horizontal="center" vertical="center" wrapText="1"/>
    </xf>
    <xf numFmtId="0" fontId="20" fillId="0" borderId="6" xfId="53" applyFont="1" applyFill="1" applyBorder="1" applyAlignment="1">
      <alignment horizontal="center" vertical="center" wrapText="1"/>
    </xf>
    <xf numFmtId="0" fontId="20" fillId="0" borderId="8" xfId="53" applyFont="1" applyFill="1" applyBorder="1" applyAlignment="1">
      <alignment horizontal="center" vertical="center" wrapText="1"/>
    </xf>
    <xf numFmtId="0" fontId="45" fillId="0" borderId="5" xfId="53" applyFont="1" applyFill="1" applyBorder="1" applyAlignment="1">
      <alignment horizontal="center" vertical="center"/>
    </xf>
    <xf numFmtId="0" fontId="11" fillId="0" borderId="5" xfId="53" applyFont="1" applyFill="1" applyBorder="1" applyAlignment="1">
      <alignment horizontal="center" vertical="center" wrapText="1"/>
    </xf>
    <xf numFmtId="0" fontId="20" fillId="0" borderId="5" xfId="53" applyFont="1" applyFill="1" applyBorder="1" applyAlignment="1">
      <alignment horizontal="center" vertical="center" wrapText="1"/>
    </xf>
    <xf numFmtId="0" fontId="19" fillId="0" borderId="5" xfId="53" applyFont="1" applyFill="1" applyBorder="1" applyAlignment="1">
      <alignment horizontal="left" vertical="center"/>
    </xf>
    <xf numFmtId="41" fontId="19" fillId="0" borderId="7" xfId="53" applyNumberFormat="1" applyFont="1" applyFill="1" applyBorder="1" applyAlignment="1">
      <alignment vertical="center"/>
    </xf>
    <xf numFmtId="10" fontId="19" fillId="0" borderId="7" xfId="53" applyNumberFormat="1" applyFont="1" applyFill="1" applyBorder="1" applyAlignment="1">
      <alignment horizontal="right"/>
    </xf>
    <xf numFmtId="0" fontId="18" fillId="0" borderId="1" xfId="53" applyFont="1" applyFill="1" applyBorder="1">
      <alignment vertical="center"/>
    </xf>
    <xf numFmtId="0" fontId="18" fillId="0" borderId="5" xfId="53" applyFont="1" applyFill="1" applyBorder="1" applyAlignment="1"/>
    <xf numFmtId="41" fontId="18" fillId="0" borderId="1" xfId="53" applyNumberFormat="1" applyFont="1" applyFill="1" applyBorder="1" applyAlignment="1">
      <alignment horizontal="right" vertical="center"/>
    </xf>
    <xf numFmtId="41" fontId="18" fillId="0" borderId="7" xfId="53" applyNumberFormat="1" applyFont="1" applyFill="1" applyBorder="1" applyAlignment="1">
      <alignment vertical="center"/>
    </xf>
    <xf numFmtId="10" fontId="18" fillId="0" borderId="7" xfId="53" applyNumberFormat="1" applyFont="1" applyFill="1" applyBorder="1" applyAlignment="1">
      <alignment horizontal="right"/>
    </xf>
    <xf numFmtId="0" fontId="18" fillId="0" borderId="1" xfId="53" applyFont="1" applyFill="1" applyBorder="1" applyAlignment="1">
      <alignment horizontal="left"/>
    </xf>
    <xf numFmtId="9" fontId="18" fillId="0" borderId="1" xfId="53" applyNumberFormat="1" applyFont="1" applyFill="1" applyBorder="1" applyAlignment="1">
      <alignment horizontal="center"/>
    </xf>
    <xf numFmtId="41" fontId="18" fillId="0" borderId="1" xfId="53" applyNumberFormat="1" applyFont="1" applyFill="1" applyBorder="1" applyAlignment="1">
      <alignment horizontal="center" vertical="center"/>
    </xf>
    <xf numFmtId="0" fontId="18" fillId="0" borderId="1" xfId="53" applyFont="1" applyFill="1" applyBorder="1" applyAlignment="1">
      <alignment horizontal="center"/>
    </xf>
    <xf numFmtId="0" fontId="46" fillId="0" borderId="1" xfId="53" applyFont="1" applyFill="1" applyBorder="1" applyAlignment="1">
      <alignment horizontal="left"/>
    </xf>
    <xf numFmtId="41" fontId="47" fillId="0" borderId="1" xfId="53" applyNumberFormat="1" applyFont="1" applyFill="1" applyBorder="1" applyAlignment="1">
      <alignment horizontal="right" vertical="center"/>
    </xf>
    <xf numFmtId="41" fontId="18" fillId="0" borderId="7" xfId="53" applyNumberFormat="1" applyFont="1" applyFill="1" applyBorder="1" applyAlignment="1">
      <alignment horizontal="right" vertical="center"/>
    </xf>
    <xf numFmtId="41" fontId="47" fillId="0" borderId="1" xfId="0" applyNumberFormat="1" applyFont="1" applyFill="1" applyBorder="1" applyAlignment="1">
      <alignment horizontal="right" vertical="center"/>
    </xf>
    <xf numFmtId="179" fontId="48" fillId="0" borderId="1" xfId="0" applyNumberFormat="1" applyFont="1" applyFill="1" applyBorder="1" applyAlignment="1">
      <alignment horizontal="right" shrinkToFit="1"/>
    </xf>
    <xf numFmtId="41" fontId="47" fillId="0" borderId="1" xfId="0" applyNumberFormat="1" applyFont="1" applyFill="1" applyBorder="1" applyAlignment="1">
      <alignment horizontal="right" vertical="center" wrapText="1" shrinkToFit="1"/>
    </xf>
    <xf numFmtId="179" fontId="49" fillId="0" borderId="1" xfId="0" applyNumberFormat="1" applyFont="1" applyFill="1" applyBorder="1" applyAlignment="1">
      <alignment horizontal="right" vertical="center" shrinkToFit="1"/>
    </xf>
    <xf numFmtId="176" fontId="47" fillId="0" borderId="1" xfId="0" applyNumberFormat="1" applyFont="1" applyFill="1" applyBorder="1" applyAlignment="1">
      <alignment horizontal="right" vertical="center" wrapText="1" shrinkToFit="1"/>
    </xf>
    <xf numFmtId="176" fontId="49" fillId="0" borderId="1" xfId="0" applyNumberFormat="1" applyFont="1" applyFill="1" applyBorder="1" applyAlignment="1">
      <alignment horizontal="right" vertical="center" wrapText="1" shrinkToFit="1"/>
    </xf>
    <xf numFmtId="41" fontId="49" fillId="0" borderId="1" xfId="0" applyNumberFormat="1" applyFont="1" applyFill="1" applyBorder="1" applyAlignment="1">
      <alignment horizontal="right" vertical="center" shrinkToFit="1"/>
    </xf>
    <xf numFmtId="0" fontId="18" fillId="0" borderId="1" xfId="53" applyFont="1" applyFill="1" applyBorder="1" applyAlignment="1">
      <alignment horizontal="center" vertical="center"/>
    </xf>
    <xf numFmtId="0" fontId="19" fillId="0" borderId="1" xfId="53" applyFont="1" applyFill="1" applyBorder="1">
      <alignment vertical="center"/>
    </xf>
    <xf numFmtId="41" fontId="19" fillId="0" borderId="1" xfId="53" applyNumberFormat="1" applyFont="1" applyFill="1" applyBorder="1" applyAlignment="1">
      <alignment horizontal="right" vertical="center"/>
    </xf>
    <xf numFmtId="41" fontId="19" fillId="0" borderId="7" xfId="53" applyNumberFormat="1" applyFont="1" applyFill="1" applyBorder="1" applyAlignment="1">
      <alignment horizontal="right" vertical="center"/>
    </xf>
    <xf numFmtId="41" fontId="11" fillId="0" borderId="1" xfId="0" applyNumberFormat="1" applyFont="1" applyFill="1" applyBorder="1" applyAlignment="1">
      <alignment horizontal="right" vertical="center" wrapText="1"/>
    </xf>
    <xf numFmtId="1" fontId="18" fillId="0" borderId="1" xfId="0" applyNumberFormat="1" applyFont="1" applyFill="1" applyBorder="1" applyAlignment="1"/>
    <xf numFmtId="41" fontId="18" fillId="0" borderId="1" xfId="0" applyNumberFormat="1" applyFont="1" applyFill="1" applyBorder="1" applyAlignment="1">
      <alignment horizontal="right"/>
    </xf>
    <xf numFmtId="41" fontId="18" fillId="0" borderId="1" xfId="53" applyNumberFormat="1" applyFont="1" applyFill="1" applyBorder="1" applyAlignment="1">
      <alignment vertical="center"/>
    </xf>
    <xf numFmtId="0" fontId="19" fillId="0" borderId="1" xfId="53" applyFont="1" applyFill="1" applyBorder="1" applyAlignment="1">
      <alignment horizontal="left"/>
    </xf>
    <xf numFmtId="1" fontId="19" fillId="0" borderId="1" xfId="53" applyNumberFormat="1" applyFont="1" applyFill="1" applyBorder="1">
      <alignment vertical="center"/>
    </xf>
    <xf numFmtId="41" fontId="19" fillId="0" borderId="1" xfId="53" applyNumberFormat="1" applyFont="1" applyFill="1" applyBorder="1" applyAlignment="1">
      <alignment vertical="center"/>
    </xf>
    <xf numFmtId="1" fontId="18" fillId="0" borderId="1" xfId="53" applyNumberFormat="1" applyFont="1" applyFill="1" applyBorder="1">
      <alignment vertical="center"/>
    </xf>
    <xf numFmtId="0" fontId="19" fillId="0" borderId="1" xfId="53" applyFont="1" applyFill="1" applyBorder="1" applyAlignment="1">
      <alignment horizontal="center"/>
    </xf>
    <xf numFmtId="180" fontId="18" fillId="0" borderId="7" xfId="53" applyNumberFormat="1" applyFont="1" applyFill="1" applyBorder="1" applyAlignment="1">
      <alignment horizontal="right"/>
    </xf>
    <xf numFmtId="41" fontId="18" fillId="0" borderId="1" xfId="0" applyNumberFormat="1" applyFont="1" applyFill="1" applyBorder="1" applyAlignment="1" applyProtection="1">
      <alignment horizontal="right" vertical="center"/>
      <protection locked="0"/>
    </xf>
    <xf numFmtId="0" fontId="18" fillId="0" borderId="1" xfId="0" applyFont="1" applyFill="1" applyBorder="1" applyAlignment="1">
      <alignment horizontal="center" vertical="center"/>
    </xf>
    <xf numFmtId="41" fontId="49" fillId="0" borderId="1" xfId="0" applyNumberFormat="1" applyFont="1" applyFill="1" applyBorder="1" applyAlignment="1">
      <alignment horizontal="center" vertical="center" shrinkToFit="1"/>
    </xf>
    <xf numFmtId="41" fontId="50" fillId="0" borderId="7" xfId="53" applyNumberFormat="1" applyFont="1" applyFill="1" applyBorder="1" applyAlignment="1">
      <alignment vertical="center"/>
    </xf>
    <xf numFmtId="10" fontId="50" fillId="0" borderId="7" xfId="53" applyNumberFormat="1" applyFont="1" applyFill="1" applyBorder="1" applyAlignment="1">
      <alignment horizontal="right"/>
    </xf>
    <xf numFmtId="41" fontId="1" fillId="0" borderId="0" xfId="0" applyNumberFormat="1" applyFont="1" applyFill="1" applyBorder="1" applyAlignment="1">
      <alignment vertical="center"/>
    </xf>
    <xf numFmtId="181" fontId="18" fillId="0" borderId="0" xfId="0" applyNumberFormat="1" applyFont="1" applyFill="1" applyBorder="1" applyAlignment="1">
      <alignment horizontal="center" vertical="center"/>
    </xf>
    <xf numFmtId="41" fontId="18" fillId="0" borderId="0" xfId="0" applyNumberFormat="1" applyFont="1" applyFill="1" applyBorder="1" applyAlignment="1">
      <alignment vertical="center"/>
    </xf>
    <xf numFmtId="181" fontId="1" fillId="0" borderId="0" xfId="0" applyNumberFormat="1" applyFont="1" applyFill="1" applyBorder="1" applyAlignment="1">
      <alignment horizontal="center" vertical="center"/>
    </xf>
    <xf numFmtId="41" fontId="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178" fontId="11" fillId="0" borderId="0" xfId="0" applyNumberFormat="1" applyFont="1" applyFill="1" applyBorder="1" applyAlignment="1">
      <alignment horizontal="center" vertical="center"/>
    </xf>
    <xf numFmtId="177" fontId="11" fillId="0" borderId="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177" fontId="20" fillId="0" borderId="4" xfId="0" applyNumberFormat="1" applyFont="1" applyFill="1" applyBorder="1" applyAlignment="1">
      <alignment horizontal="center" vertical="center" wrapText="1"/>
    </xf>
    <xf numFmtId="10" fontId="20" fillId="0" borderId="4"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178" fontId="20" fillId="0" borderId="1" xfId="0" applyNumberFormat="1" applyFont="1" applyFill="1" applyBorder="1" applyAlignment="1">
      <alignment horizontal="center" vertical="center" wrapText="1"/>
    </xf>
    <xf numFmtId="0" fontId="20" fillId="0" borderId="5" xfId="0" applyFont="1" applyFill="1" applyBorder="1" applyAlignment="1">
      <alignment horizontal="center" vertical="center" wrapText="1"/>
    </xf>
    <xf numFmtId="177" fontId="20" fillId="0" borderId="5" xfId="0" applyNumberFormat="1" applyFont="1" applyFill="1" applyBorder="1" applyAlignment="1">
      <alignment horizontal="center" vertical="center" wrapText="1"/>
    </xf>
    <xf numFmtId="10" fontId="20" fillId="0" borderId="5" xfId="0" applyNumberFormat="1" applyFont="1" applyFill="1" applyBorder="1" applyAlignment="1">
      <alignment horizontal="center" vertical="center" wrapText="1"/>
    </xf>
    <xf numFmtId="177" fontId="11" fillId="0" borderId="2" xfId="0" applyNumberFormat="1" applyFont="1" applyFill="1" applyBorder="1" applyAlignment="1" applyProtection="1">
      <alignment horizontal="center" vertical="center"/>
    </xf>
    <xf numFmtId="10" fontId="18" fillId="0" borderId="1" xfId="0" applyNumberFormat="1" applyFont="1" applyFill="1" applyBorder="1" applyAlignment="1">
      <alignment horizontal="center" vertical="center"/>
    </xf>
    <xf numFmtId="41" fontId="18"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10" fontId="19" fillId="0" borderId="1" xfId="0" applyNumberFormat="1" applyFont="1" applyFill="1" applyBorder="1" applyAlignment="1">
      <alignment horizontal="center" vertical="center"/>
    </xf>
    <xf numFmtId="41" fontId="19" fillId="0" borderId="1" xfId="0" applyNumberFormat="1" applyFont="1" applyFill="1" applyBorder="1" applyAlignment="1">
      <alignment horizontal="center" vertical="center"/>
    </xf>
    <xf numFmtId="1" fontId="18" fillId="0" borderId="1" xfId="0" applyNumberFormat="1" applyFont="1" applyFill="1" applyBorder="1" applyAlignment="1" applyProtection="1">
      <alignment horizontal="left" vertical="center" wrapText="1"/>
      <protection locked="0"/>
    </xf>
    <xf numFmtId="177" fontId="24" fillId="0" borderId="1" xfId="0" applyNumberFormat="1" applyFont="1" applyFill="1" applyBorder="1" applyAlignment="1">
      <alignment horizontal="center" vertical="center"/>
    </xf>
    <xf numFmtId="0" fontId="11" fillId="0" borderId="10" xfId="0" applyFont="1" applyFill="1" applyBorder="1" applyAlignment="1">
      <alignment horizontal="center" vertical="center"/>
    </xf>
    <xf numFmtId="0" fontId="21" fillId="0" borderId="1" xfId="0" applyFont="1" applyFill="1" applyBorder="1" applyAlignment="1">
      <alignment horizontal="center" vertical="center" wrapText="1"/>
    </xf>
    <xf numFmtId="10" fontId="20" fillId="0" borderId="1" xfId="0" applyNumberFormat="1" applyFont="1" applyFill="1" applyBorder="1" applyAlignment="1">
      <alignment horizontal="center" vertical="center" wrapText="1"/>
    </xf>
    <xf numFmtId="3" fontId="11" fillId="0" borderId="1" xfId="0" applyNumberFormat="1" applyFont="1" applyFill="1" applyBorder="1" applyAlignment="1" applyProtection="1">
      <alignment horizontal="right" vertical="center" wrapText="1"/>
    </xf>
    <xf numFmtId="3" fontId="11" fillId="0" borderId="1" xfId="0" applyNumberFormat="1" applyFont="1" applyFill="1" applyBorder="1" applyAlignment="1">
      <alignment vertical="center" wrapText="1"/>
    </xf>
    <xf numFmtId="3" fontId="11" fillId="0" borderId="1" xfId="0" applyNumberFormat="1" applyFont="1" applyFill="1" applyBorder="1" applyAlignment="1">
      <alignment vertical="center"/>
    </xf>
    <xf numFmtId="3" fontId="11" fillId="0" borderId="1" xfId="0" applyNumberFormat="1" applyFont="1" applyFill="1" applyBorder="1" applyAlignment="1">
      <alignment horizontal="right" vertical="center"/>
    </xf>
    <xf numFmtId="179" fontId="11" fillId="0" borderId="0" xfId="0" applyNumberFormat="1" applyFont="1" applyFill="1" applyBorder="1" applyAlignment="1"/>
    <xf numFmtId="177" fontId="11" fillId="0" borderId="0" xfId="0" applyNumberFormat="1" applyFont="1" applyFill="1" applyBorder="1" applyAlignment="1">
      <alignment vertical="center" wrapText="1"/>
    </xf>
    <xf numFmtId="177" fontId="18" fillId="0" borderId="1" xfId="0" applyNumberFormat="1" applyFont="1" applyFill="1" applyBorder="1" applyAlignment="1">
      <alignment horizontal="right" vertical="center"/>
    </xf>
    <xf numFmtId="177" fontId="11" fillId="0" borderId="1" xfId="0" applyNumberFormat="1" applyFont="1" applyFill="1" applyBorder="1" applyAlignment="1">
      <alignment horizontal="right" vertical="center"/>
    </xf>
    <xf numFmtId="9" fontId="18" fillId="0" borderId="1" xfId="12" applyFont="1" applyFill="1" applyBorder="1" applyAlignment="1">
      <alignment horizontal="center" vertical="center"/>
    </xf>
    <xf numFmtId="10" fontId="19" fillId="0" borderId="1" xfId="12" applyNumberFormat="1" applyFont="1" applyFill="1" applyBorder="1" applyAlignment="1">
      <alignment horizontal="center" vertical="center"/>
    </xf>
    <xf numFmtId="0" fontId="20"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0" fillId="0" borderId="1" xfId="0" applyFont="1" applyFill="1" applyBorder="1" applyAlignment="1">
      <alignment horizontal="center" vertical="center"/>
    </xf>
    <xf numFmtId="1" fontId="19" fillId="0" borderId="1" xfId="0" applyNumberFormat="1" applyFont="1" applyFill="1" applyBorder="1" applyAlignment="1">
      <alignment horizontal="left" vertical="center" wrapText="1"/>
    </xf>
    <xf numFmtId="1" fontId="18" fillId="0" borderId="1" xfId="0" applyNumberFormat="1" applyFont="1" applyFill="1" applyBorder="1" applyAlignment="1">
      <alignment horizontal="left" wrapText="1"/>
    </xf>
    <xf numFmtId="177" fontId="13" fillId="0" borderId="1" xfId="0" applyNumberFormat="1" applyFont="1" applyFill="1" applyBorder="1" applyAlignment="1">
      <alignment horizontal="center" shrinkToFit="1"/>
    </xf>
    <xf numFmtId="177" fontId="18" fillId="0" borderId="1" xfId="0" applyNumberFormat="1" applyFont="1" applyFill="1" applyBorder="1" applyAlignment="1">
      <alignment horizontal="center"/>
    </xf>
    <xf numFmtId="177" fontId="49" fillId="0" borderId="1" xfId="0" applyNumberFormat="1" applyFont="1" applyFill="1" applyBorder="1" applyAlignment="1">
      <alignment horizontal="center" shrinkToFit="1"/>
    </xf>
    <xf numFmtId="0" fontId="18" fillId="0" borderId="1" xfId="0" applyFont="1" applyFill="1" applyBorder="1" applyAlignment="1">
      <alignment horizontal="left" wrapText="1"/>
    </xf>
    <xf numFmtId="177" fontId="51" fillId="0" borderId="1" xfId="0" applyNumberFormat="1" applyFont="1" applyFill="1" applyBorder="1" applyAlignment="1">
      <alignment horizontal="center" shrinkToFit="1"/>
    </xf>
    <xf numFmtId="177" fontId="49" fillId="0" borderId="1" xfId="0" applyNumberFormat="1" applyFont="1" applyFill="1" applyBorder="1" applyAlignment="1">
      <alignment horizontal="center" vertical="center" wrapText="1" shrinkToFit="1"/>
    </xf>
    <xf numFmtId="177" fontId="11" fillId="0" borderId="1" xfId="0" applyNumberFormat="1" applyFont="1" applyFill="1" applyBorder="1" applyAlignment="1">
      <alignment horizontal="center" vertical="center" wrapText="1" shrinkToFit="1"/>
    </xf>
    <xf numFmtId="177" fontId="18" fillId="0" borderId="1" xfId="0" applyNumberFormat="1" applyFont="1" applyFill="1" applyBorder="1" applyAlignment="1">
      <alignment horizontal="center" vertical="center" shrinkToFit="1"/>
    </xf>
    <xf numFmtId="0" fontId="13" fillId="0" borderId="1" xfId="0" applyFont="1" applyFill="1" applyBorder="1" applyAlignment="1">
      <alignment horizontal="left" shrinkToFit="1"/>
    </xf>
    <xf numFmtId="177" fontId="52" fillId="0" borderId="1" xfId="0" applyNumberFormat="1" applyFont="1" applyFill="1" applyBorder="1" applyAlignment="1">
      <alignment horizontal="center" vertical="center" shrinkToFit="1"/>
    </xf>
    <xf numFmtId="177" fontId="53" fillId="0" borderId="1" xfId="0" applyNumberFormat="1" applyFont="1" applyFill="1" applyBorder="1" applyAlignment="1">
      <alignment horizontal="center" vertical="center" shrinkToFit="1"/>
    </xf>
    <xf numFmtId="1" fontId="19" fillId="0" borderId="1" xfId="0" applyNumberFormat="1" applyFont="1" applyFill="1" applyBorder="1" applyAlignment="1">
      <alignment horizontal="left" wrapText="1"/>
    </xf>
    <xf numFmtId="177" fontId="18" fillId="0" borderId="1" xfId="0" applyNumberFormat="1" applyFont="1" applyFill="1" applyBorder="1" applyAlignment="1">
      <alignment horizontal="center" vertical="center" wrapText="1"/>
    </xf>
    <xf numFmtId="1" fontId="19" fillId="0" borderId="1" xfId="0" applyNumberFormat="1" applyFont="1" applyFill="1" applyBorder="1" applyAlignment="1">
      <alignment horizontal="center" wrapText="1"/>
    </xf>
    <xf numFmtId="0" fontId="18" fillId="0" borderId="1" xfId="0" applyNumberFormat="1" applyFont="1" applyFill="1" applyBorder="1" applyAlignment="1">
      <alignment horizontal="left" wrapText="1"/>
    </xf>
    <xf numFmtId="0" fontId="19" fillId="0" borderId="1" xfId="0" applyNumberFormat="1" applyFont="1" applyFill="1" applyBorder="1" applyAlignment="1">
      <alignment horizontal="left" wrapText="1"/>
    </xf>
    <xf numFmtId="0" fontId="11" fillId="0" borderId="1" xfId="0" applyNumberFormat="1" applyFont="1" applyFill="1" applyBorder="1" applyAlignment="1">
      <alignment horizontal="left" wrapText="1"/>
    </xf>
    <xf numFmtId="1" fontId="22" fillId="0" borderId="1" xfId="0" applyNumberFormat="1" applyFont="1" applyFill="1" applyBorder="1" applyAlignment="1">
      <alignment horizontal="left" wrapText="1"/>
    </xf>
    <xf numFmtId="177" fontId="24" fillId="0" borderId="11" xfId="0" applyNumberFormat="1" applyFont="1" applyFill="1" applyBorder="1" applyAlignment="1" applyProtection="1">
      <alignment horizontal="center" vertical="center"/>
    </xf>
    <xf numFmtId="177" fontId="18" fillId="0" borderId="11" xfId="0" applyNumberFormat="1" applyFont="1" applyFill="1" applyBorder="1" applyAlignment="1" applyProtection="1">
      <alignment horizontal="center" vertical="center"/>
    </xf>
    <xf numFmtId="0" fontId="54" fillId="0" borderId="0" xfId="0" applyFont="1" applyFill="1" applyBorder="1" applyAlignment="1">
      <alignment horizontal="center" vertical="center"/>
    </xf>
    <xf numFmtId="179" fontId="55" fillId="0" borderId="1" xfId="0" applyNumberFormat="1" applyFont="1" applyFill="1" applyBorder="1" applyAlignment="1">
      <alignment horizontal="center" shrinkToFit="1"/>
    </xf>
    <xf numFmtId="179" fontId="53" fillId="0" borderId="1" xfId="0" applyNumberFormat="1" applyFont="1" applyFill="1" applyBorder="1" applyAlignment="1">
      <alignment horizontal="center" vertical="center" shrinkToFit="1"/>
    </xf>
    <xf numFmtId="177" fontId="18" fillId="0" borderId="1" xfId="0" applyNumberFormat="1" applyFont="1" applyFill="1" applyBorder="1" applyAlignment="1">
      <alignment horizontal="right" vertical="center" shrinkToFit="1"/>
    </xf>
    <xf numFmtId="177" fontId="18" fillId="0" borderId="1" xfId="0" applyNumberFormat="1" applyFont="1" applyFill="1" applyBorder="1" applyAlignment="1">
      <alignment vertical="center"/>
    </xf>
    <xf numFmtId="177" fontId="24" fillId="0" borderId="11" xfId="0" applyNumberFormat="1" applyFont="1" applyFill="1" applyBorder="1" applyAlignment="1" applyProtection="1">
      <alignment horizontal="right" vertical="center"/>
    </xf>
    <xf numFmtId="177" fontId="18" fillId="0" borderId="11" xfId="0" applyNumberFormat="1" applyFont="1" applyFill="1" applyBorder="1" applyAlignment="1" applyProtection="1">
      <alignment horizontal="right" vertical="center"/>
    </xf>
    <xf numFmtId="177" fontId="18" fillId="0" borderId="12" xfId="0" applyNumberFormat="1" applyFont="1" applyFill="1" applyBorder="1" applyAlignment="1" applyProtection="1">
      <alignment horizontal="right" vertical="center"/>
    </xf>
    <xf numFmtId="177" fontId="11" fillId="0" borderId="13" xfId="0" applyNumberFormat="1" applyFont="1" applyFill="1" applyBorder="1" applyAlignment="1">
      <alignment horizontal="center" vertical="center"/>
    </xf>
    <xf numFmtId="177" fontId="11" fillId="0" borderId="2" xfId="0" applyNumberFormat="1" applyFont="1" applyFill="1" applyBorder="1" applyAlignment="1">
      <alignment horizontal="center" vertical="center"/>
    </xf>
    <xf numFmtId="177" fontId="11" fillId="0" borderId="3" xfId="0" applyNumberFormat="1" applyFont="1" applyFill="1" applyBorder="1" applyAlignment="1" applyProtection="1">
      <alignment horizontal="center" vertical="center"/>
    </xf>
    <xf numFmtId="177" fontId="18" fillId="0" borderId="1" xfId="0" applyNumberFormat="1" applyFont="1" applyFill="1" applyBorder="1" applyAlignment="1" applyProtection="1">
      <alignment horizontal="center" vertical="center"/>
    </xf>
    <xf numFmtId="0" fontId="22"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9"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3" fontId="11" fillId="0" borderId="1" xfId="0" applyNumberFormat="1" applyFont="1" applyFill="1" applyBorder="1" applyAlignment="1">
      <alignment horizontal="center" vertical="center"/>
    </xf>
    <xf numFmtId="177" fontId="11" fillId="0" borderId="3" xfId="0" applyNumberFormat="1" applyFont="1" applyFill="1" applyBorder="1" applyAlignment="1" applyProtection="1">
      <alignment horizontal="right" vertical="center"/>
    </xf>
    <xf numFmtId="177" fontId="19" fillId="0" borderId="1" xfId="0" applyNumberFormat="1" applyFont="1" applyFill="1" applyBorder="1" applyAlignment="1">
      <alignment horizontal="right" vertical="center"/>
    </xf>
    <xf numFmtId="41" fontId="11" fillId="0" borderId="0" xfId="0" applyNumberFormat="1" applyFont="1" applyFill="1" applyBorder="1" applyAlignment="1">
      <alignment horizontal="center" vertical="center"/>
    </xf>
    <xf numFmtId="0" fontId="19" fillId="0" borderId="0" xfId="0" applyFont="1" applyFill="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全区社保"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_附件：2019年财政收入预计表（分部门分税种）20191202"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_收入明细表(报人大) (3)"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7" xfId="52"/>
    <cellStyle name="常规_Sheet1" xfId="53"/>
    <cellStyle name="样式 1" xfId="54"/>
    <cellStyle name="常规_Sheet1_全区社保" xfId="55"/>
    <cellStyle name="常规_2013年政府性基金预算草案0109陈改" xfId="56"/>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0"/>
  <sheetViews>
    <sheetView showZeros="0" workbookViewId="0">
      <pane ySplit="6" topLeftCell="A67" activePane="bottomLeft" state="frozen"/>
      <selection/>
      <selection pane="bottomLeft" activeCell="N5" sqref="N5"/>
    </sheetView>
  </sheetViews>
  <sheetFormatPr defaultColWidth="8" defaultRowHeight="15.6"/>
  <cols>
    <col min="1" max="1" width="32.5" style="432" customWidth="1"/>
    <col min="2" max="2" width="11.6296296296296" style="394" customWidth="1"/>
    <col min="3" max="3" width="10.8796296296296" style="394" customWidth="1"/>
    <col min="4" max="4" width="11" style="394" customWidth="1"/>
    <col min="5" max="5" width="9.87962962962963" style="394" customWidth="1"/>
    <col min="6" max="6" width="10.75" style="394" customWidth="1"/>
    <col min="7" max="7" width="11.6296296296296" style="394" customWidth="1"/>
    <col min="8" max="8" width="9.5" style="394" customWidth="1"/>
    <col min="9" max="9" width="11.8796296296296" style="394" customWidth="1"/>
    <col min="10" max="10" width="11.75" style="431" customWidth="1"/>
    <col min="11" max="11" width="10.5" style="394" customWidth="1"/>
    <col min="12" max="12" width="8" style="394"/>
    <col min="13" max="14" width="14.3796296296296" style="394"/>
    <col min="15" max="15" width="13.1296296296296" style="394"/>
    <col min="16" max="16384" width="8" style="394"/>
  </cols>
  <sheetData>
    <row r="1" s="394" customFormat="1" ht="18" customHeight="1" spans="1:10">
      <c r="A1" s="433" t="s">
        <v>0</v>
      </c>
      <c r="J1" s="431"/>
    </row>
    <row r="2" s="6" customFormat="1" ht="36" customHeight="1" spans="1:11">
      <c r="A2" s="397" t="s">
        <v>1</v>
      </c>
      <c r="B2" s="397"/>
      <c r="C2" s="397"/>
      <c r="D2" s="397"/>
      <c r="E2" s="397"/>
      <c r="F2" s="397"/>
      <c r="G2" s="397"/>
      <c r="H2" s="397"/>
      <c r="I2" s="457"/>
      <c r="J2" s="397"/>
      <c r="K2" s="397"/>
    </row>
    <row r="3" s="394" customFormat="1" ht="21" customHeight="1" spans="1:10">
      <c r="A3" s="432"/>
      <c r="J3" s="431" t="s">
        <v>2</v>
      </c>
    </row>
    <row r="4" s="431" customFormat="1" ht="21.95" customHeight="1" spans="1:11">
      <c r="A4" s="405" t="s">
        <v>3</v>
      </c>
      <c r="B4" s="434" t="s">
        <v>4</v>
      </c>
      <c r="C4" s="434"/>
      <c r="D4" s="434"/>
      <c r="E4" s="434"/>
      <c r="F4" s="434"/>
      <c r="G4" s="434"/>
      <c r="H4" s="434"/>
      <c r="I4" s="434" t="s">
        <v>5</v>
      </c>
      <c r="J4" s="434"/>
      <c r="K4" s="434"/>
    </row>
    <row r="5" s="431" customFormat="1" ht="24" customHeight="1" spans="1:11">
      <c r="A5" s="405"/>
      <c r="B5" s="405" t="s">
        <v>6</v>
      </c>
      <c r="C5" s="405" t="s">
        <v>7</v>
      </c>
      <c r="D5" s="405" t="s">
        <v>8</v>
      </c>
      <c r="E5" s="405" t="s">
        <v>9</v>
      </c>
      <c r="F5" s="405" t="s">
        <v>10</v>
      </c>
      <c r="G5" s="405" t="s">
        <v>11</v>
      </c>
      <c r="H5" s="405"/>
      <c r="I5" s="405" t="s">
        <v>12</v>
      </c>
      <c r="J5" s="405" t="s">
        <v>13</v>
      </c>
      <c r="K5" s="405"/>
    </row>
    <row r="6" s="394" customFormat="1" ht="18" customHeight="1" spans="1:11">
      <c r="A6" s="405"/>
      <c r="B6" s="405"/>
      <c r="C6" s="405"/>
      <c r="D6" s="405"/>
      <c r="E6" s="405"/>
      <c r="F6" s="405"/>
      <c r="G6" s="405" t="s">
        <v>14</v>
      </c>
      <c r="H6" s="405" t="s">
        <v>15</v>
      </c>
      <c r="I6" s="405"/>
      <c r="J6" s="405" t="s">
        <v>14</v>
      </c>
      <c r="K6" s="405" t="s">
        <v>16</v>
      </c>
    </row>
    <row r="7" s="394" customFormat="1" ht="21.75" customHeight="1" spans="1:11">
      <c r="A7" s="435" t="s">
        <v>17</v>
      </c>
      <c r="B7" s="413">
        <f t="shared" ref="B7:F7" si="0">SUM(B8:B23)</f>
        <v>17026</v>
      </c>
      <c r="C7" s="413">
        <f t="shared" si="0"/>
        <v>18394</v>
      </c>
      <c r="D7" s="413">
        <f t="shared" si="0"/>
        <v>18823</v>
      </c>
      <c r="E7" s="414">
        <f t="shared" ref="E7:E9" si="1">D7/C7</f>
        <v>1.02332282265956</v>
      </c>
      <c r="F7" s="413">
        <f t="shared" si="0"/>
        <v>15492</v>
      </c>
      <c r="G7" s="413">
        <f t="shared" ref="G7:G21" si="2">D7-F7</f>
        <v>3331</v>
      </c>
      <c r="H7" s="414">
        <f t="shared" ref="H7:H9" si="3">G7/F7</f>
        <v>0.215014200877872</v>
      </c>
      <c r="I7" s="413">
        <f>SUM(I8:I22)</f>
        <v>18535</v>
      </c>
      <c r="J7" s="53">
        <f t="shared" ref="J7:J70" si="4">I7-D7</f>
        <v>-288</v>
      </c>
      <c r="K7" s="414">
        <f t="shared" ref="K7:K9" si="5">J7/D7</f>
        <v>-0.0153004303246029</v>
      </c>
    </row>
    <row r="8" s="394" customFormat="1" ht="21.75" customHeight="1" spans="1:14">
      <c r="A8" s="436" t="s">
        <v>18</v>
      </c>
      <c r="B8" s="437">
        <v>4202</v>
      </c>
      <c r="C8" s="438">
        <v>2754</v>
      </c>
      <c r="D8" s="439">
        <v>2714</v>
      </c>
      <c r="E8" s="77">
        <f t="shared" si="1"/>
        <v>0.985475671750182</v>
      </c>
      <c r="F8" s="439">
        <v>3878</v>
      </c>
      <c r="G8" s="53">
        <f t="shared" si="2"/>
        <v>-1164</v>
      </c>
      <c r="H8" s="411">
        <f t="shared" si="3"/>
        <v>-0.300154718927282</v>
      </c>
      <c r="I8" s="458">
        <v>5824</v>
      </c>
      <c r="J8" s="53">
        <f t="shared" si="4"/>
        <v>3110</v>
      </c>
      <c r="K8" s="411">
        <f t="shared" si="5"/>
        <v>1.14591009579956</v>
      </c>
      <c r="N8" s="394">
        <f>SUM(I33,I36,I42)</f>
        <v>220050.72</v>
      </c>
    </row>
    <row r="9" s="394" customFormat="1" ht="21.75" customHeight="1" spans="1:11">
      <c r="A9" s="436" t="s">
        <v>19</v>
      </c>
      <c r="B9" s="53">
        <v>3450</v>
      </c>
      <c r="C9" s="53">
        <v>4099</v>
      </c>
      <c r="D9" s="439">
        <v>4253</v>
      </c>
      <c r="E9" s="77">
        <f t="shared" si="1"/>
        <v>1.03757013905831</v>
      </c>
      <c r="F9" s="439">
        <v>3399</v>
      </c>
      <c r="G9" s="53">
        <f t="shared" si="2"/>
        <v>854</v>
      </c>
      <c r="H9" s="411">
        <f t="shared" si="3"/>
        <v>0.251250367755222</v>
      </c>
      <c r="I9" s="458">
        <v>1760</v>
      </c>
      <c r="J9" s="53">
        <f t="shared" si="4"/>
        <v>-2493</v>
      </c>
      <c r="K9" s="411">
        <f t="shared" si="5"/>
        <v>-0.58617446508347</v>
      </c>
    </row>
    <row r="10" s="394" customFormat="1" ht="21.75" customHeight="1" spans="1:11">
      <c r="A10" s="440" t="s">
        <v>20</v>
      </c>
      <c r="B10" s="53"/>
      <c r="C10" s="441"/>
      <c r="D10" s="442">
        <v>0</v>
      </c>
      <c r="E10" s="77"/>
      <c r="F10" s="442">
        <v>0</v>
      </c>
      <c r="G10" s="53">
        <f t="shared" si="2"/>
        <v>0</v>
      </c>
      <c r="H10" s="411"/>
      <c r="I10" s="427"/>
      <c r="J10" s="53">
        <f t="shared" si="4"/>
        <v>0</v>
      </c>
      <c r="K10" s="411"/>
    </row>
    <row r="11" s="394" customFormat="1" ht="21.75" customHeight="1" spans="1:11">
      <c r="A11" s="440" t="s">
        <v>21</v>
      </c>
      <c r="B11" s="53">
        <v>1560</v>
      </c>
      <c r="C11" s="437">
        <v>807</v>
      </c>
      <c r="D11" s="443">
        <v>818</v>
      </c>
      <c r="E11" s="77">
        <f t="shared" ref="E11:E21" si="6">D11/C11</f>
        <v>1.01363073110285</v>
      </c>
      <c r="F11" s="443">
        <v>1765</v>
      </c>
      <c r="G11" s="53">
        <f t="shared" si="2"/>
        <v>-947</v>
      </c>
      <c r="H11" s="411">
        <f t="shared" ref="H11:H19" si="7">G11/F11</f>
        <v>-0.536543909348442</v>
      </c>
      <c r="I11" s="53">
        <v>1110</v>
      </c>
      <c r="J11" s="53">
        <f t="shared" si="4"/>
        <v>292</v>
      </c>
      <c r="K11" s="411">
        <f t="shared" ref="K11:K22" si="8">J11/D11</f>
        <v>0.356968215158924</v>
      </c>
    </row>
    <row r="12" s="394" customFormat="1" ht="21.75" customHeight="1" spans="1:11">
      <c r="A12" s="436" t="s">
        <v>22</v>
      </c>
      <c r="B12" s="437">
        <v>500</v>
      </c>
      <c r="C12" s="437">
        <v>500</v>
      </c>
      <c r="D12" s="443">
        <v>706</v>
      </c>
      <c r="E12" s="77">
        <f t="shared" si="6"/>
        <v>1.412</v>
      </c>
      <c r="F12" s="443">
        <v>403</v>
      </c>
      <c r="G12" s="53">
        <f t="shared" si="2"/>
        <v>303</v>
      </c>
      <c r="H12" s="411">
        <f t="shared" si="7"/>
        <v>0.751861042183623</v>
      </c>
      <c r="I12" s="458">
        <v>500</v>
      </c>
      <c r="J12" s="53">
        <f t="shared" si="4"/>
        <v>-206</v>
      </c>
      <c r="K12" s="411">
        <f t="shared" si="8"/>
        <v>-0.291784702549575</v>
      </c>
    </row>
    <row r="13" s="394" customFormat="1" ht="21.75" customHeight="1" spans="1:11">
      <c r="A13" s="440" t="s">
        <v>23</v>
      </c>
      <c r="B13" s="444">
        <v>1500</v>
      </c>
      <c r="C13" s="444">
        <v>1500</v>
      </c>
      <c r="D13" s="443">
        <v>1409</v>
      </c>
      <c r="E13" s="77">
        <f t="shared" si="6"/>
        <v>0.939333333333333</v>
      </c>
      <c r="F13" s="443">
        <v>1309</v>
      </c>
      <c r="G13" s="53">
        <f t="shared" si="2"/>
        <v>100</v>
      </c>
      <c r="H13" s="411">
        <f t="shared" si="7"/>
        <v>0.0763941940412529</v>
      </c>
      <c r="I13" s="459">
        <v>1300</v>
      </c>
      <c r="J13" s="53">
        <f t="shared" si="4"/>
        <v>-109</v>
      </c>
      <c r="K13" s="411">
        <f t="shared" si="8"/>
        <v>-0.0773598296664301</v>
      </c>
    </row>
    <row r="14" s="394" customFormat="1" ht="21.75" customHeight="1" spans="1:11">
      <c r="A14" s="436" t="s">
        <v>24</v>
      </c>
      <c r="B14" s="444">
        <v>900</v>
      </c>
      <c r="C14" s="444">
        <v>1000</v>
      </c>
      <c r="D14" s="443">
        <v>942</v>
      </c>
      <c r="E14" s="77">
        <f t="shared" si="6"/>
        <v>0.942</v>
      </c>
      <c r="F14" s="443">
        <v>863</v>
      </c>
      <c r="G14" s="53">
        <f t="shared" si="2"/>
        <v>79</v>
      </c>
      <c r="H14" s="411">
        <f t="shared" si="7"/>
        <v>0.0915411355735805</v>
      </c>
      <c r="I14" s="459">
        <v>1000</v>
      </c>
      <c r="J14" s="53">
        <f t="shared" si="4"/>
        <v>58</v>
      </c>
      <c r="K14" s="411">
        <f t="shared" si="8"/>
        <v>0.0615711252653928</v>
      </c>
    </row>
    <row r="15" s="394" customFormat="1" ht="21.75" customHeight="1" spans="1:11">
      <c r="A15" s="436" t="s">
        <v>25</v>
      </c>
      <c r="B15" s="444">
        <v>400</v>
      </c>
      <c r="C15" s="444">
        <v>300</v>
      </c>
      <c r="D15" s="443">
        <v>370</v>
      </c>
      <c r="E15" s="77">
        <f t="shared" si="6"/>
        <v>1.23333333333333</v>
      </c>
      <c r="F15" s="443">
        <v>369</v>
      </c>
      <c r="G15" s="53">
        <f t="shared" si="2"/>
        <v>1</v>
      </c>
      <c r="H15" s="411">
        <f t="shared" si="7"/>
        <v>0.002710027100271</v>
      </c>
      <c r="I15" s="459">
        <v>300</v>
      </c>
      <c r="J15" s="53">
        <f t="shared" si="4"/>
        <v>-70</v>
      </c>
      <c r="K15" s="411">
        <f t="shared" si="8"/>
        <v>-0.189189189189189</v>
      </c>
    </row>
    <row r="16" s="394" customFormat="1" ht="21.75" customHeight="1" spans="1:11">
      <c r="A16" s="436" t="s">
        <v>26</v>
      </c>
      <c r="B16" s="444">
        <v>290</v>
      </c>
      <c r="C16" s="444">
        <v>300</v>
      </c>
      <c r="D16" s="443">
        <v>356</v>
      </c>
      <c r="E16" s="77">
        <f t="shared" si="6"/>
        <v>1.18666666666667</v>
      </c>
      <c r="F16" s="443">
        <v>290</v>
      </c>
      <c r="G16" s="53">
        <f t="shared" si="2"/>
        <v>66</v>
      </c>
      <c r="H16" s="411">
        <f t="shared" si="7"/>
        <v>0.227586206896552</v>
      </c>
      <c r="I16" s="459">
        <v>300</v>
      </c>
      <c r="J16" s="53">
        <f t="shared" si="4"/>
        <v>-56</v>
      </c>
      <c r="K16" s="411">
        <f t="shared" si="8"/>
        <v>-0.157303370786517</v>
      </c>
    </row>
    <row r="17" s="394" customFormat="1" ht="21.75" customHeight="1" spans="1:11">
      <c r="A17" s="436" t="s">
        <v>27</v>
      </c>
      <c r="B17" s="444">
        <v>880</v>
      </c>
      <c r="C17" s="444">
        <v>200</v>
      </c>
      <c r="D17" s="443">
        <v>173</v>
      </c>
      <c r="E17" s="77">
        <f t="shared" si="6"/>
        <v>0.865</v>
      </c>
      <c r="F17" s="443">
        <v>173</v>
      </c>
      <c r="G17" s="53">
        <f t="shared" si="2"/>
        <v>0</v>
      </c>
      <c r="H17" s="411">
        <f t="shared" si="7"/>
        <v>0</v>
      </c>
      <c r="I17" s="459">
        <v>200</v>
      </c>
      <c r="J17" s="53">
        <f t="shared" si="4"/>
        <v>27</v>
      </c>
      <c r="K17" s="411">
        <f t="shared" si="8"/>
        <v>0.15606936416185</v>
      </c>
    </row>
    <row r="18" s="394" customFormat="1" ht="21.75" customHeight="1" spans="1:11">
      <c r="A18" s="436" t="s">
        <v>28</v>
      </c>
      <c r="B18" s="444">
        <v>960</v>
      </c>
      <c r="C18" s="444">
        <v>1600</v>
      </c>
      <c r="D18" s="443">
        <v>1410</v>
      </c>
      <c r="E18" s="77">
        <f t="shared" si="6"/>
        <v>0.88125</v>
      </c>
      <c r="F18" s="443">
        <v>952</v>
      </c>
      <c r="G18" s="53">
        <f t="shared" si="2"/>
        <v>458</v>
      </c>
      <c r="H18" s="411">
        <f t="shared" si="7"/>
        <v>0.48109243697479</v>
      </c>
      <c r="I18" s="459">
        <v>1500</v>
      </c>
      <c r="J18" s="53">
        <f t="shared" si="4"/>
        <v>90</v>
      </c>
      <c r="K18" s="411">
        <f t="shared" si="8"/>
        <v>0.0638297872340425</v>
      </c>
    </row>
    <row r="19" s="394" customFormat="1" ht="21.75" customHeight="1" spans="1:11">
      <c r="A19" s="445" t="s">
        <v>29</v>
      </c>
      <c r="B19" s="444">
        <v>430</v>
      </c>
      <c r="C19" s="444">
        <v>450</v>
      </c>
      <c r="D19" s="443">
        <v>471</v>
      </c>
      <c r="E19" s="77">
        <f t="shared" si="6"/>
        <v>1.04666666666667</v>
      </c>
      <c r="F19" s="443">
        <v>422</v>
      </c>
      <c r="G19" s="53">
        <f t="shared" si="2"/>
        <v>49</v>
      </c>
      <c r="H19" s="411">
        <f t="shared" si="7"/>
        <v>0.116113744075829</v>
      </c>
      <c r="I19" s="459">
        <v>450</v>
      </c>
      <c r="J19" s="53">
        <f t="shared" si="4"/>
        <v>-21</v>
      </c>
      <c r="K19" s="411">
        <f t="shared" si="8"/>
        <v>-0.0445859872611465</v>
      </c>
    </row>
    <row r="20" s="394" customFormat="1" ht="21.75" customHeight="1" spans="1:11">
      <c r="A20" s="436" t="s">
        <v>30</v>
      </c>
      <c r="B20" s="444">
        <v>500</v>
      </c>
      <c r="C20" s="444">
        <v>3307</v>
      </c>
      <c r="D20" s="443">
        <v>3108</v>
      </c>
      <c r="E20" s="77">
        <f t="shared" si="6"/>
        <v>0.939824614454188</v>
      </c>
      <c r="F20" s="443">
        <v>509</v>
      </c>
      <c r="G20" s="53">
        <f t="shared" si="2"/>
        <v>2599</v>
      </c>
      <c r="H20" s="411"/>
      <c r="I20" s="459">
        <v>3000</v>
      </c>
      <c r="J20" s="53">
        <f t="shared" si="4"/>
        <v>-108</v>
      </c>
      <c r="K20" s="411">
        <f t="shared" si="8"/>
        <v>-0.0347490347490347</v>
      </c>
    </row>
    <row r="21" s="394" customFormat="1" ht="21.75" customHeight="1" spans="1:11">
      <c r="A21" s="436" t="s">
        <v>31</v>
      </c>
      <c r="B21" s="444">
        <v>1400</v>
      </c>
      <c r="C21" s="446">
        <v>1500</v>
      </c>
      <c r="D21" s="443">
        <v>2015</v>
      </c>
      <c r="E21" s="77">
        <f t="shared" si="6"/>
        <v>1.34333333333333</v>
      </c>
      <c r="F21" s="443">
        <v>1107</v>
      </c>
      <c r="G21" s="53">
        <f t="shared" si="2"/>
        <v>908</v>
      </c>
      <c r="H21" s="411">
        <f t="shared" ref="H21:H27" si="9">G21/F21</f>
        <v>0.820234869015357</v>
      </c>
      <c r="I21" s="459">
        <v>1200</v>
      </c>
      <c r="J21" s="53">
        <f t="shared" si="4"/>
        <v>-815</v>
      </c>
      <c r="K21" s="411">
        <f t="shared" si="8"/>
        <v>-0.404466501240695</v>
      </c>
    </row>
    <row r="22" s="394" customFormat="1" ht="21.75" customHeight="1" spans="1:11">
      <c r="A22" s="436" t="s">
        <v>32</v>
      </c>
      <c r="B22" s="444">
        <v>54</v>
      </c>
      <c r="C22" s="447">
        <v>77</v>
      </c>
      <c r="D22" s="443">
        <v>78</v>
      </c>
      <c r="E22" s="77"/>
      <c r="F22" s="443">
        <v>54</v>
      </c>
      <c r="G22" s="53"/>
      <c r="H22" s="411"/>
      <c r="I22" s="460">
        <v>91</v>
      </c>
      <c r="J22" s="53">
        <f t="shared" si="4"/>
        <v>13</v>
      </c>
      <c r="K22" s="411">
        <f t="shared" si="8"/>
        <v>0.166666666666667</v>
      </c>
    </row>
    <row r="23" s="394" customFormat="1" ht="21.75" customHeight="1" spans="1:11">
      <c r="A23" s="436" t="s">
        <v>33</v>
      </c>
      <c r="B23" s="53"/>
      <c r="C23" s="53">
        <v>0</v>
      </c>
      <c r="D23" s="53">
        <v>0</v>
      </c>
      <c r="E23" s="411"/>
      <c r="F23" s="53">
        <v>-1</v>
      </c>
      <c r="G23" s="53"/>
      <c r="H23" s="411"/>
      <c r="I23" s="428">
        <v>0</v>
      </c>
      <c r="J23" s="53">
        <f t="shared" si="4"/>
        <v>0</v>
      </c>
      <c r="K23" s="411"/>
    </row>
    <row r="24" s="394" customFormat="1" ht="21.75" customHeight="1" spans="1:11">
      <c r="A24" s="448" t="s">
        <v>34</v>
      </c>
      <c r="B24" s="413">
        <f t="shared" ref="B24:F24" si="10">SUM(B25:B32)</f>
        <v>29073</v>
      </c>
      <c r="C24" s="413">
        <f>C25+C26+C27+C28+C29+C32+C30+C31</f>
        <v>30488</v>
      </c>
      <c r="D24" s="413">
        <f t="shared" si="10"/>
        <v>29625</v>
      </c>
      <c r="E24" s="414">
        <f t="shared" ref="E24:E29" si="11">D24/C24</f>
        <v>0.971693781159801</v>
      </c>
      <c r="F24" s="413">
        <f t="shared" si="10"/>
        <v>27850</v>
      </c>
      <c r="G24" s="413">
        <f t="shared" ref="G24:G33" si="12">D24-F24</f>
        <v>1775</v>
      </c>
      <c r="H24" s="414">
        <f t="shared" si="9"/>
        <v>0.0637342908438061</v>
      </c>
      <c r="I24" s="413">
        <f>SUM(I25:I32)</f>
        <v>32310</v>
      </c>
      <c r="J24" s="53">
        <f t="shared" si="4"/>
        <v>2685</v>
      </c>
      <c r="K24" s="414">
        <f t="shared" ref="K24:K27" si="13">J24/D24</f>
        <v>0.0906329113924051</v>
      </c>
    </row>
    <row r="25" s="394" customFormat="1" ht="21.75" customHeight="1" spans="1:11">
      <c r="A25" s="436" t="s">
        <v>35</v>
      </c>
      <c r="B25" s="53">
        <v>1580</v>
      </c>
      <c r="C25" s="53">
        <v>1500</v>
      </c>
      <c r="D25" s="449">
        <v>1469</v>
      </c>
      <c r="E25" s="411">
        <f t="shared" si="11"/>
        <v>0.979333333333333</v>
      </c>
      <c r="F25" s="449">
        <v>1555</v>
      </c>
      <c r="G25" s="413">
        <f t="shared" si="12"/>
        <v>-86</v>
      </c>
      <c r="H25" s="411">
        <f t="shared" si="9"/>
        <v>-0.0553054662379421</v>
      </c>
      <c r="I25" s="427">
        <v>1530</v>
      </c>
      <c r="J25" s="53">
        <f t="shared" si="4"/>
        <v>61</v>
      </c>
      <c r="K25" s="411">
        <f t="shared" si="13"/>
        <v>0.0415248468345813</v>
      </c>
    </row>
    <row r="26" s="394" customFormat="1" ht="21.75" customHeight="1" spans="1:11">
      <c r="A26" s="436" t="s">
        <v>36</v>
      </c>
      <c r="B26" s="53">
        <v>2500</v>
      </c>
      <c r="C26" s="53">
        <v>2500</v>
      </c>
      <c r="D26" s="449">
        <v>821</v>
      </c>
      <c r="E26" s="411">
        <f t="shared" si="11"/>
        <v>0.3284</v>
      </c>
      <c r="F26" s="449">
        <v>4827</v>
      </c>
      <c r="G26" s="413">
        <f t="shared" si="12"/>
        <v>-4006</v>
      </c>
      <c r="H26" s="411">
        <f t="shared" si="9"/>
        <v>-0.829915061114564</v>
      </c>
      <c r="I26" s="427">
        <v>2980</v>
      </c>
      <c r="J26" s="53">
        <f t="shared" si="4"/>
        <v>2159</v>
      </c>
      <c r="K26" s="411">
        <f t="shared" si="13"/>
        <v>2.62971985383678</v>
      </c>
    </row>
    <row r="27" s="394" customFormat="1" ht="21.75" customHeight="1" spans="1:11">
      <c r="A27" s="436" t="s">
        <v>37</v>
      </c>
      <c r="B27" s="53">
        <v>858</v>
      </c>
      <c r="C27" s="53">
        <v>860</v>
      </c>
      <c r="D27" s="449">
        <v>1151</v>
      </c>
      <c r="E27" s="411">
        <f t="shared" si="11"/>
        <v>1.33837209302326</v>
      </c>
      <c r="F27" s="449">
        <v>1031</v>
      </c>
      <c r="G27" s="413">
        <f t="shared" si="12"/>
        <v>120</v>
      </c>
      <c r="H27" s="411">
        <f t="shared" si="9"/>
        <v>0.11639185257032</v>
      </c>
      <c r="I27" s="427">
        <v>1100</v>
      </c>
      <c r="J27" s="53">
        <f t="shared" si="4"/>
        <v>-51</v>
      </c>
      <c r="K27" s="411">
        <f t="shared" si="13"/>
        <v>-0.0443092962641182</v>
      </c>
    </row>
    <row r="28" s="394" customFormat="1" ht="21.75" customHeight="1" spans="1:11">
      <c r="A28" s="436" t="s">
        <v>38</v>
      </c>
      <c r="B28" s="53"/>
      <c r="C28" s="53">
        <v>36</v>
      </c>
      <c r="D28" s="449">
        <v>0</v>
      </c>
      <c r="E28" s="411">
        <f t="shared" si="11"/>
        <v>0</v>
      </c>
      <c r="F28" s="449">
        <v>0</v>
      </c>
      <c r="G28" s="413">
        <f t="shared" si="12"/>
        <v>0</v>
      </c>
      <c r="H28" s="411"/>
      <c r="I28" s="427">
        <v>40</v>
      </c>
      <c r="J28" s="53">
        <f t="shared" si="4"/>
        <v>40</v>
      </c>
      <c r="K28" s="411"/>
    </row>
    <row r="29" s="394" customFormat="1" ht="21.75" customHeight="1" spans="1:11">
      <c r="A29" s="436" t="s">
        <v>39</v>
      </c>
      <c r="B29" s="53">
        <v>24063</v>
      </c>
      <c r="C29" s="53">
        <v>25500</v>
      </c>
      <c r="D29" s="449">
        <v>26095</v>
      </c>
      <c r="E29" s="411">
        <f t="shared" si="11"/>
        <v>1.02333333333333</v>
      </c>
      <c r="F29" s="449">
        <v>19505</v>
      </c>
      <c r="G29" s="413">
        <f t="shared" si="12"/>
        <v>6590</v>
      </c>
      <c r="H29" s="411">
        <f t="shared" ref="H29:H37" si="14">G29/F29</f>
        <v>0.33786208664445</v>
      </c>
      <c r="I29" s="427">
        <v>26560</v>
      </c>
      <c r="J29" s="53">
        <f t="shared" si="4"/>
        <v>465</v>
      </c>
      <c r="K29" s="411">
        <f t="shared" ref="K29:K49" si="15">J29/D29</f>
        <v>0.0178195056524238</v>
      </c>
    </row>
    <row r="30" s="394" customFormat="1" ht="21.75" customHeight="1" spans="1:11">
      <c r="A30" s="436" t="s">
        <v>40</v>
      </c>
      <c r="B30" s="53"/>
      <c r="C30" s="53">
        <v>0</v>
      </c>
      <c r="D30" s="449"/>
      <c r="E30" s="411"/>
      <c r="F30" s="449">
        <v>607</v>
      </c>
      <c r="G30" s="413">
        <f t="shared" si="12"/>
        <v>-607</v>
      </c>
      <c r="H30" s="411"/>
      <c r="I30" s="427"/>
      <c r="J30" s="53">
        <f t="shared" si="4"/>
        <v>0</v>
      </c>
      <c r="K30" s="411"/>
    </row>
    <row r="31" s="394" customFormat="1" ht="21.75" customHeight="1" spans="1:11">
      <c r="A31" s="436" t="s">
        <v>41</v>
      </c>
      <c r="B31" s="53">
        <v>72</v>
      </c>
      <c r="C31" s="53">
        <v>72</v>
      </c>
      <c r="D31" s="449">
        <v>73</v>
      </c>
      <c r="E31" s="411"/>
      <c r="F31" s="449">
        <v>86</v>
      </c>
      <c r="G31" s="413">
        <f t="shared" si="12"/>
        <v>-13</v>
      </c>
      <c r="H31" s="411">
        <f t="shared" si="14"/>
        <v>-0.151162790697674</v>
      </c>
      <c r="I31" s="427">
        <v>80</v>
      </c>
      <c r="J31" s="53">
        <f t="shared" si="4"/>
        <v>7</v>
      </c>
      <c r="K31" s="411">
        <f t="shared" si="15"/>
        <v>0.0958904109589041</v>
      </c>
    </row>
    <row r="32" s="394" customFormat="1" ht="21.75" customHeight="1" spans="1:11">
      <c r="A32" s="436" t="s">
        <v>42</v>
      </c>
      <c r="B32" s="53"/>
      <c r="C32" s="53">
        <v>20</v>
      </c>
      <c r="D32" s="53">
        <v>16</v>
      </c>
      <c r="E32" s="411"/>
      <c r="F32" s="53">
        <v>239</v>
      </c>
      <c r="G32" s="413">
        <f t="shared" si="12"/>
        <v>-223</v>
      </c>
      <c r="H32" s="411">
        <f t="shared" si="14"/>
        <v>-0.933054393305439</v>
      </c>
      <c r="I32" s="427">
        <v>20</v>
      </c>
      <c r="J32" s="53">
        <f t="shared" si="4"/>
        <v>4</v>
      </c>
      <c r="K32" s="411">
        <f t="shared" si="15"/>
        <v>0.25</v>
      </c>
    </row>
    <row r="33" s="394" customFormat="1" ht="21.75" customHeight="1" spans="1:11">
      <c r="A33" s="450" t="s">
        <v>43</v>
      </c>
      <c r="B33" s="413">
        <f>B7+B24</f>
        <v>46099</v>
      </c>
      <c r="C33" s="413">
        <f>C7+C24</f>
        <v>48882</v>
      </c>
      <c r="D33" s="413">
        <f>D24+D7</f>
        <v>48448</v>
      </c>
      <c r="E33" s="414">
        <f t="shared" ref="E33:E37" si="16">D33/C33</f>
        <v>0.991121476208011</v>
      </c>
      <c r="F33" s="413">
        <f>F24+F7</f>
        <v>43342</v>
      </c>
      <c r="G33" s="413">
        <f t="shared" si="12"/>
        <v>5106</v>
      </c>
      <c r="H33" s="414">
        <f t="shared" si="14"/>
        <v>0.117807207789211</v>
      </c>
      <c r="I33" s="413">
        <f>I7+I24</f>
        <v>50845</v>
      </c>
      <c r="J33" s="53">
        <f t="shared" si="4"/>
        <v>2397</v>
      </c>
      <c r="K33" s="414">
        <f t="shared" si="15"/>
        <v>0.0494757265521797</v>
      </c>
    </row>
    <row r="34" s="394" customFormat="1" ht="21.75" customHeight="1" spans="1:11">
      <c r="A34" s="448" t="s">
        <v>44</v>
      </c>
      <c r="B34" s="413">
        <f t="shared" ref="B34:F34" si="17">B35+B93+B100+B101+B102+B103</f>
        <v>296461</v>
      </c>
      <c r="C34" s="413">
        <f t="shared" si="17"/>
        <v>341183.778</v>
      </c>
      <c r="D34" s="413">
        <f>SUM(D35,D93,D99:D102)</f>
        <v>345696.678</v>
      </c>
      <c r="E34" s="414">
        <f t="shared" si="16"/>
        <v>1.0132271822138</v>
      </c>
      <c r="F34" s="413">
        <f t="shared" si="17"/>
        <v>344198</v>
      </c>
      <c r="G34" s="413">
        <v>21300</v>
      </c>
      <c r="H34" s="414">
        <f t="shared" si="14"/>
        <v>0.061882985955758</v>
      </c>
      <c r="I34" s="413">
        <f>I35+I93+I100+I101+I102+I103</f>
        <v>274525.63</v>
      </c>
      <c r="J34" s="53">
        <f t="shared" si="4"/>
        <v>-71171.048</v>
      </c>
      <c r="K34" s="414">
        <f t="shared" si="15"/>
        <v>-0.205877153381266</v>
      </c>
    </row>
    <row r="35" s="394" customFormat="1" ht="21.75" customHeight="1" spans="1:11">
      <c r="A35" s="448" t="s">
        <v>45</v>
      </c>
      <c r="B35" s="413">
        <f t="shared" ref="B35:F35" si="18">B36+B42+B70</f>
        <v>271452</v>
      </c>
      <c r="C35" s="413">
        <f t="shared" si="18"/>
        <v>312967.778</v>
      </c>
      <c r="D35" s="413">
        <f t="shared" si="18"/>
        <v>312013.678</v>
      </c>
      <c r="E35" s="414">
        <f t="shared" si="16"/>
        <v>0.99695144335274</v>
      </c>
      <c r="F35" s="413">
        <f t="shared" si="18"/>
        <v>323430</v>
      </c>
      <c r="G35" s="413">
        <f t="shared" ref="G35:G41" si="19">D35-F35</f>
        <v>-11416.322</v>
      </c>
      <c r="H35" s="414">
        <f t="shared" si="14"/>
        <v>-0.0352976594626348</v>
      </c>
      <c r="I35" s="413">
        <f>I36+I42+I70</f>
        <v>265935.63</v>
      </c>
      <c r="J35" s="53">
        <f t="shared" si="4"/>
        <v>-46078.048</v>
      </c>
      <c r="K35" s="411">
        <f t="shared" si="15"/>
        <v>-0.14767957704726</v>
      </c>
    </row>
    <row r="36" s="394" customFormat="1" ht="21.75" customHeight="1" spans="1:11">
      <c r="A36" s="448" t="s">
        <v>46</v>
      </c>
      <c r="B36" s="413">
        <f t="shared" ref="B36:G36" si="20">SUM(B37:B41)</f>
        <v>6696</v>
      </c>
      <c r="C36" s="413">
        <f t="shared" si="20"/>
        <v>6688</v>
      </c>
      <c r="D36" s="413">
        <f t="shared" si="20"/>
        <v>6688</v>
      </c>
      <c r="E36" s="414">
        <f t="shared" si="16"/>
        <v>1</v>
      </c>
      <c r="F36" s="413">
        <f t="shared" si="20"/>
        <v>6688</v>
      </c>
      <c r="G36" s="413">
        <f t="shared" si="20"/>
        <v>0</v>
      </c>
      <c r="H36" s="414">
        <f t="shared" si="14"/>
        <v>0</v>
      </c>
      <c r="I36" s="413">
        <f>SUM(I37:I41)</f>
        <v>6688</v>
      </c>
      <c r="J36" s="53">
        <f t="shared" si="4"/>
        <v>0</v>
      </c>
      <c r="K36" s="414">
        <f t="shared" si="15"/>
        <v>0</v>
      </c>
    </row>
    <row r="37" s="394" customFormat="1" ht="21.75" customHeight="1" spans="1:11">
      <c r="A37" s="436" t="s">
        <v>47</v>
      </c>
      <c r="B37" s="413">
        <v>2888</v>
      </c>
      <c r="C37" s="53">
        <v>2880</v>
      </c>
      <c r="D37" s="53">
        <v>2880</v>
      </c>
      <c r="E37" s="411">
        <f t="shared" si="16"/>
        <v>1</v>
      </c>
      <c r="F37" s="53">
        <v>2880</v>
      </c>
      <c r="G37" s="53">
        <f t="shared" si="19"/>
        <v>0</v>
      </c>
      <c r="H37" s="411">
        <f t="shared" si="14"/>
        <v>0</v>
      </c>
      <c r="I37" s="427">
        <v>2880</v>
      </c>
      <c r="J37" s="53">
        <f t="shared" si="4"/>
        <v>0</v>
      </c>
      <c r="K37" s="411">
        <f t="shared" si="15"/>
        <v>0</v>
      </c>
    </row>
    <row r="38" s="394" customFormat="1" ht="21.75" customHeight="1" spans="1:11">
      <c r="A38" s="436" t="s">
        <v>48</v>
      </c>
      <c r="B38" s="413">
        <v>508</v>
      </c>
      <c r="C38" s="53">
        <v>508</v>
      </c>
      <c r="D38" s="53">
        <v>508</v>
      </c>
      <c r="E38" s="411"/>
      <c r="F38" s="53">
        <v>508</v>
      </c>
      <c r="G38" s="53"/>
      <c r="H38" s="411"/>
      <c r="I38" s="427">
        <v>508</v>
      </c>
      <c r="J38" s="53">
        <f t="shared" si="4"/>
        <v>0</v>
      </c>
      <c r="K38" s="411">
        <f t="shared" si="15"/>
        <v>0</v>
      </c>
    </row>
    <row r="39" s="394" customFormat="1" ht="21.75" customHeight="1" spans="1:11">
      <c r="A39" s="436" t="s">
        <v>49</v>
      </c>
      <c r="B39" s="53">
        <v>1906</v>
      </c>
      <c r="C39" s="53">
        <v>1906</v>
      </c>
      <c r="D39" s="53">
        <v>1906</v>
      </c>
      <c r="E39" s="411">
        <f t="shared" ref="E39:E49" si="21">D39/C39</f>
        <v>1</v>
      </c>
      <c r="F39" s="53">
        <v>1906</v>
      </c>
      <c r="G39" s="53">
        <f t="shared" si="19"/>
        <v>0</v>
      </c>
      <c r="H39" s="411">
        <f t="shared" ref="H39:H49" si="22">G39/F39</f>
        <v>0</v>
      </c>
      <c r="I39" s="461">
        <v>1906</v>
      </c>
      <c r="J39" s="53">
        <f t="shared" si="4"/>
        <v>0</v>
      </c>
      <c r="K39" s="411">
        <f t="shared" si="15"/>
        <v>0</v>
      </c>
    </row>
    <row r="40" s="394" customFormat="1" ht="33" customHeight="1" spans="1:11">
      <c r="A40" s="436" t="s">
        <v>50</v>
      </c>
      <c r="B40" s="53">
        <v>439</v>
      </c>
      <c r="C40" s="53">
        <v>439</v>
      </c>
      <c r="D40" s="53">
        <v>439</v>
      </c>
      <c r="E40" s="411">
        <f t="shared" si="21"/>
        <v>1</v>
      </c>
      <c r="F40" s="53">
        <v>439</v>
      </c>
      <c r="G40" s="53">
        <f t="shared" si="19"/>
        <v>0</v>
      </c>
      <c r="H40" s="411">
        <f t="shared" si="22"/>
        <v>0</v>
      </c>
      <c r="I40" s="461">
        <v>439</v>
      </c>
      <c r="J40" s="53">
        <f t="shared" si="4"/>
        <v>0</v>
      </c>
      <c r="K40" s="411">
        <f t="shared" si="15"/>
        <v>0</v>
      </c>
    </row>
    <row r="41" s="394" customFormat="1" ht="21.75" customHeight="1" spans="1:11">
      <c r="A41" s="451" t="s">
        <v>51</v>
      </c>
      <c r="B41" s="53">
        <v>955</v>
      </c>
      <c r="C41" s="53">
        <v>955</v>
      </c>
      <c r="D41" s="53">
        <v>955</v>
      </c>
      <c r="E41" s="411">
        <f t="shared" si="21"/>
        <v>1</v>
      </c>
      <c r="F41" s="53">
        <v>955</v>
      </c>
      <c r="G41" s="53">
        <f t="shared" si="19"/>
        <v>0</v>
      </c>
      <c r="H41" s="411">
        <f t="shared" si="22"/>
        <v>0</v>
      </c>
      <c r="I41" s="461">
        <v>955</v>
      </c>
      <c r="J41" s="53">
        <f t="shared" si="4"/>
        <v>0</v>
      </c>
      <c r="K41" s="411">
        <f t="shared" si="15"/>
        <v>0</v>
      </c>
    </row>
    <row r="42" s="394" customFormat="1" ht="21.75" customHeight="1" spans="1:11">
      <c r="A42" s="452" t="s">
        <v>52</v>
      </c>
      <c r="B42" s="413">
        <f t="shared" ref="B42:G42" si="23">SUM(B43:B69)</f>
        <v>183485</v>
      </c>
      <c r="C42" s="413">
        <f t="shared" si="23"/>
        <v>239116.379</v>
      </c>
      <c r="D42" s="413">
        <f t="shared" si="23"/>
        <v>251578.7825</v>
      </c>
      <c r="E42" s="414">
        <f t="shared" si="21"/>
        <v>1.05211856900861</v>
      </c>
      <c r="F42" s="413">
        <f t="shared" si="23"/>
        <v>253163</v>
      </c>
      <c r="G42" s="413">
        <f t="shared" si="23"/>
        <v>-2376.2175</v>
      </c>
      <c r="H42" s="414">
        <f t="shared" si="22"/>
        <v>-0.00938611684961863</v>
      </c>
      <c r="I42" s="413">
        <f>SUM(I43:I69)</f>
        <v>162517.72</v>
      </c>
      <c r="J42" s="53">
        <f t="shared" si="4"/>
        <v>-89061.0625</v>
      </c>
      <c r="K42" s="411">
        <f t="shared" si="15"/>
        <v>-0.354008639420934</v>
      </c>
    </row>
    <row r="43" s="394" customFormat="1" ht="21.75" customHeight="1" spans="1:11">
      <c r="A43" s="453" t="s">
        <v>53</v>
      </c>
      <c r="B43" s="53">
        <v>804</v>
      </c>
      <c r="C43" s="53">
        <v>804</v>
      </c>
      <c r="D43" s="53">
        <v>920.99</v>
      </c>
      <c r="E43" s="411">
        <f t="shared" si="21"/>
        <v>1.14550995024876</v>
      </c>
      <c r="F43" s="53">
        <v>804</v>
      </c>
      <c r="G43" s="53">
        <f t="shared" ref="G43:G49" si="24">D43-F43</f>
        <v>116.99</v>
      </c>
      <c r="H43" s="411">
        <f t="shared" si="22"/>
        <v>0.145509950248756</v>
      </c>
      <c r="I43" s="53">
        <v>804</v>
      </c>
      <c r="J43" s="53">
        <f t="shared" si="4"/>
        <v>-116.99</v>
      </c>
      <c r="K43" s="411">
        <f t="shared" si="15"/>
        <v>-0.127026352077656</v>
      </c>
    </row>
    <row r="44" s="394" customFormat="1" ht="21.75" customHeight="1" spans="1:11">
      <c r="A44" s="453" t="s">
        <v>54</v>
      </c>
      <c r="B44" s="53">
        <v>55476</v>
      </c>
      <c r="C44" s="53">
        <v>57415</v>
      </c>
      <c r="D44" s="79">
        <v>57415</v>
      </c>
      <c r="E44" s="411">
        <f t="shared" si="21"/>
        <v>1</v>
      </c>
      <c r="F44" s="79">
        <v>55373</v>
      </c>
      <c r="G44" s="53">
        <f t="shared" si="24"/>
        <v>2042</v>
      </c>
      <c r="H44" s="411">
        <f t="shared" si="22"/>
        <v>0.0368771784082495</v>
      </c>
      <c r="I44" s="53">
        <v>57415</v>
      </c>
      <c r="J44" s="53">
        <f t="shared" si="4"/>
        <v>0</v>
      </c>
      <c r="K44" s="411">
        <f t="shared" si="15"/>
        <v>0</v>
      </c>
    </row>
    <row r="45" s="394" customFormat="1" ht="20.25" customHeight="1" spans="1:11">
      <c r="A45" s="453" t="s">
        <v>55</v>
      </c>
      <c r="B45" s="53">
        <v>877</v>
      </c>
      <c r="C45" s="53">
        <v>1350</v>
      </c>
      <c r="D45" s="53">
        <v>1350</v>
      </c>
      <c r="E45" s="411">
        <f t="shared" si="21"/>
        <v>1</v>
      </c>
      <c r="F45" s="53">
        <v>1032</v>
      </c>
      <c r="G45" s="53">
        <f t="shared" si="24"/>
        <v>318</v>
      </c>
      <c r="H45" s="411">
        <f t="shared" si="22"/>
        <v>0.308139534883721</v>
      </c>
      <c r="I45" s="394">
        <v>1260</v>
      </c>
      <c r="J45" s="53">
        <f t="shared" si="4"/>
        <v>-90</v>
      </c>
      <c r="K45" s="411">
        <f t="shared" si="15"/>
        <v>-0.0666666666666667</v>
      </c>
    </row>
    <row r="46" s="394" customFormat="1" ht="20.25" customHeight="1" spans="1:11">
      <c r="A46" s="453" t="s">
        <v>56</v>
      </c>
      <c r="B46" s="53">
        <v>8890</v>
      </c>
      <c r="C46" s="53">
        <v>10215</v>
      </c>
      <c r="D46" s="394">
        <v>10215</v>
      </c>
      <c r="E46" s="411">
        <f t="shared" si="21"/>
        <v>1</v>
      </c>
      <c r="F46" s="53">
        <v>8944</v>
      </c>
      <c r="G46" s="53">
        <f t="shared" si="24"/>
        <v>1271</v>
      </c>
      <c r="H46" s="411">
        <f t="shared" si="22"/>
        <v>0.142106440071556</v>
      </c>
      <c r="I46" s="53">
        <v>10215</v>
      </c>
      <c r="J46" s="53">
        <f t="shared" si="4"/>
        <v>0</v>
      </c>
      <c r="K46" s="411">
        <f t="shared" si="15"/>
        <v>0</v>
      </c>
    </row>
    <row r="47" s="394" customFormat="1" ht="20.25" customHeight="1" spans="1:11">
      <c r="A47" s="453" t="s">
        <v>57</v>
      </c>
      <c r="B47" s="53">
        <v>19654</v>
      </c>
      <c r="C47" s="53">
        <v>35075.301</v>
      </c>
      <c r="D47" s="53">
        <v>35075.3</v>
      </c>
      <c r="E47" s="411">
        <f t="shared" si="21"/>
        <v>0.99999997148991</v>
      </c>
      <c r="F47" s="53">
        <v>55833</v>
      </c>
      <c r="G47" s="53">
        <f t="shared" si="24"/>
        <v>-20757.7</v>
      </c>
      <c r="H47" s="411">
        <f t="shared" si="22"/>
        <v>-0.371781921086096</v>
      </c>
      <c r="I47" s="427"/>
      <c r="J47" s="53">
        <f t="shared" si="4"/>
        <v>-35075.3</v>
      </c>
      <c r="K47" s="411">
        <f t="shared" si="15"/>
        <v>-1</v>
      </c>
    </row>
    <row r="48" s="394" customFormat="1" ht="31" customHeight="1" spans="1:11">
      <c r="A48" s="436" t="s">
        <v>58</v>
      </c>
      <c r="B48" s="53">
        <v>10188</v>
      </c>
      <c r="C48" s="53">
        <v>20461</v>
      </c>
      <c r="D48" s="53">
        <v>20461</v>
      </c>
      <c r="E48" s="411">
        <f t="shared" si="21"/>
        <v>1</v>
      </c>
      <c r="F48" s="53">
        <v>12222</v>
      </c>
      <c r="G48" s="53">
        <f t="shared" si="24"/>
        <v>8239</v>
      </c>
      <c r="H48" s="411">
        <f t="shared" si="22"/>
        <v>0.674112256586483</v>
      </c>
      <c r="I48" s="427">
        <v>13337</v>
      </c>
      <c r="J48" s="53">
        <f t="shared" si="4"/>
        <v>-7124</v>
      </c>
      <c r="K48" s="411">
        <f t="shared" si="15"/>
        <v>-0.348174576022677</v>
      </c>
    </row>
    <row r="49" s="394" customFormat="1" ht="21.75" customHeight="1" spans="1:11">
      <c r="A49" s="436" t="s">
        <v>59</v>
      </c>
      <c r="B49" s="53">
        <v>337</v>
      </c>
      <c r="C49" s="53">
        <v>1756</v>
      </c>
      <c r="D49" s="53">
        <v>7337</v>
      </c>
      <c r="E49" s="411">
        <f t="shared" si="21"/>
        <v>4.17824601366743</v>
      </c>
      <c r="F49" s="53">
        <v>4527</v>
      </c>
      <c r="G49" s="53">
        <f t="shared" si="24"/>
        <v>2810</v>
      </c>
      <c r="H49" s="411">
        <f t="shared" si="22"/>
        <v>0.620720123702231</v>
      </c>
      <c r="I49" s="53">
        <v>336</v>
      </c>
      <c r="J49" s="53">
        <f t="shared" si="4"/>
        <v>-7001</v>
      </c>
      <c r="K49" s="411">
        <f t="shared" si="15"/>
        <v>-0.954204715823906</v>
      </c>
    </row>
    <row r="50" s="394" customFormat="1" ht="33" customHeight="1" spans="1:11">
      <c r="A50" s="436" t="s">
        <v>60</v>
      </c>
      <c r="B50" s="53"/>
      <c r="C50" s="449"/>
      <c r="D50" s="53"/>
      <c r="E50" s="411"/>
      <c r="F50" s="53"/>
      <c r="G50" s="53"/>
      <c r="H50" s="411"/>
      <c r="I50" s="53"/>
      <c r="J50" s="53">
        <f t="shared" si="4"/>
        <v>0</v>
      </c>
      <c r="K50" s="411"/>
    </row>
    <row r="51" s="394" customFormat="1" ht="38" customHeight="1" spans="1:13">
      <c r="A51" s="454" t="s">
        <v>61</v>
      </c>
      <c r="B51" s="53">
        <v>282</v>
      </c>
      <c r="C51" s="53"/>
      <c r="D51" s="53">
        <v>0</v>
      </c>
      <c r="E51" s="411"/>
      <c r="F51" s="53"/>
      <c r="G51" s="53">
        <f t="shared" ref="G51:G63" si="25">D51-F51</f>
        <v>0</v>
      </c>
      <c r="H51" s="411"/>
      <c r="I51" s="53"/>
      <c r="J51" s="53">
        <f t="shared" si="4"/>
        <v>0</v>
      </c>
      <c r="K51" s="411"/>
      <c r="M51" s="53"/>
    </row>
    <row r="52" s="394" customFormat="1" ht="21.75" customHeight="1" spans="1:11">
      <c r="A52" s="436" t="s">
        <v>62</v>
      </c>
      <c r="B52" s="455"/>
      <c r="C52" s="53"/>
      <c r="E52" s="411"/>
      <c r="F52" s="53">
        <v>269</v>
      </c>
      <c r="G52" s="53">
        <f>M51-F52</f>
        <v>-269</v>
      </c>
      <c r="H52" s="411">
        <f t="shared" ref="H52:H54" si="26">G52/F52</f>
        <v>-1</v>
      </c>
      <c r="I52" s="462"/>
      <c r="J52" s="53">
        <f t="shared" si="4"/>
        <v>0</v>
      </c>
      <c r="K52" s="411"/>
    </row>
    <row r="53" s="394" customFormat="1" ht="21.75" customHeight="1" spans="1:11">
      <c r="A53" s="436" t="s">
        <v>63</v>
      </c>
      <c r="B53" s="455"/>
      <c r="C53" s="53"/>
      <c r="D53" s="53"/>
      <c r="E53" s="411"/>
      <c r="F53" s="53">
        <v>5310</v>
      </c>
      <c r="G53" s="53">
        <f t="shared" si="25"/>
        <v>-5310</v>
      </c>
      <c r="H53" s="411">
        <f t="shared" si="26"/>
        <v>-1</v>
      </c>
      <c r="I53" s="462"/>
      <c r="J53" s="53">
        <f t="shared" si="4"/>
        <v>0</v>
      </c>
      <c r="K53" s="411"/>
    </row>
    <row r="54" s="394" customFormat="1" ht="28" customHeight="1" spans="1:11">
      <c r="A54" s="436" t="s">
        <v>64</v>
      </c>
      <c r="B54" s="456"/>
      <c r="C54" s="53"/>
      <c r="D54" s="53"/>
      <c r="E54" s="411"/>
      <c r="F54" s="53">
        <v>7220</v>
      </c>
      <c r="G54" s="53">
        <f t="shared" si="25"/>
        <v>-7220</v>
      </c>
      <c r="H54" s="411">
        <f t="shared" si="26"/>
        <v>-1</v>
      </c>
      <c r="I54" s="463"/>
      <c r="J54" s="53">
        <f t="shared" si="4"/>
        <v>0</v>
      </c>
      <c r="K54" s="411"/>
    </row>
    <row r="55" s="394" customFormat="1" ht="30" customHeight="1" spans="1:11">
      <c r="A55" s="436" t="s">
        <v>65</v>
      </c>
      <c r="B55" s="456"/>
      <c r="C55" s="53"/>
      <c r="D55" s="53"/>
      <c r="E55" s="411"/>
      <c r="F55" s="53"/>
      <c r="G55" s="53">
        <f t="shared" si="25"/>
        <v>0</v>
      </c>
      <c r="H55" s="411"/>
      <c r="I55" s="463"/>
      <c r="J55" s="53">
        <f t="shared" si="4"/>
        <v>0</v>
      </c>
      <c r="K55" s="411"/>
    </row>
    <row r="56" s="394" customFormat="1" ht="21.75" customHeight="1" spans="1:11">
      <c r="A56" s="436" t="s">
        <v>66</v>
      </c>
      <c r="B56" s="456"/>
      <c r="C56" s="53"/>
      <c r="D56" s="53"/>
      <c r="E56" s="411"/>
      <c r="F56" s="53"/>
      <c r="G56" s="53">
        <f t="shared" si="25"/>
        <v>0</v>
      </c>
      <c r="H56" s="411"/>
      <c r="I56" s="463"/>
      <c r="J56" s="53">
        <f t="shared" si="4"/>
        <v>0</v>
      </c>
      <c r="K56" s="411"/>
    </row>
    <row r="57" s="394" customFormat="1" ht="33.95" customHeight="1" spans="1:11">
      <c r="A57" s="436" t="s">
        <v>67</v>
      </c>
      <c r="B57" s="53">
        <v>1027</v>
      </c>
      <c r="C57" s="449">
        <v>1998.1</v>
      </c>
      <c r="D57" s="53">
        <v>2198.1</v>
      </c>
      <c r="E57" s="411"/>
      <c r="F57" s="53">
        <v>2513</v>
      </c>
      <c r="G57" s="53">
        <f t="shared" si="25"/>
        <v>-314.9</v>
      </c>
      <c r="H57" s="411">
        <v>1</v>
      </c>
      <c r="I57" s="464">
        <v>905.7</v>
      </c>
      <c r="J57" s="53">
        <f t="shared" si="4"/>
        <v>-1292.4</v>
      </c>
      <c r="K57" s="411">
        <f t="shared" ref="K57:K71" si="27">J57/D57</f>
        <v>-0.587962331104135</v>
      </c>
    </row>
    <row r="58" s="394" customFormat="1" ht="30" customHeight="1" spans="1:11">
      <c r="A58" s="436" t="s">
        <v>68</v>
      </c>
      <c r="B58" s="53">
        <v>6630</v>
      </c>
      <c r="C58" s="449">
        <v>16368.918</v>
      </c>
      <c r="D58" s="53">
        <v>16368.918</v>
      </c>
      <c r="E58" s="411"/>
      <c r="F58" s="53">
        <v>21245</v>
      </c>
      <c r="G58" s="53">
        <f t="shared" si="25"/>
        <v>-4876.082</v>
      </c>
      <c r="H58" s="411">
        <v>1</v>
      </c>
      <c r="I58" s="464">
        <v>8921.47</v>
      </c>
      <c r="J58" s="53">
        <f t="shared" si="4"/>
        <v>-7447.448</v>
      </c>
      <c r="K58" s="411">
        <f t="shared" si="27"/>
        <v>-0.454974971467265</v>
      </c>
    </row>
    <row r="59" s="394" customFormat="1" ht="30" customHeight="1" spans="1:11">
      <c r="A59" s="436" t="s">
        <v>69</v>
      </c>
      <c r="B59" s="53">
        <v>45</v>
      </c>
      <c r="C59" s="449">
        <v>100.1</v>
      </c>
      <c r="D59" s="53">
        <v>613.6</v>
      </c>
      <c r="E59" s="411"/>
      <c r="F59" s="53">
        <v>902</v>
      </c>
      <c r="G59" s="53">
        <f t="shared" si="25"/>
        <v>-288.4</v>
      </c>
      <c r="H59" s="411">
        <v>1</v>
      </c>
      <c r="I59" s="464">
        <v>613.6</v>
      </c>
      <c r="J59" s="53">
        <f t="shared" si="4"/>
        <v>0</v>
      </c>
      <c r="K59" s="411">
        <f t="shared" si="27"/>
        <v>0</v>
      </c>
    </row>
    <row r="60" s="394" customFormat="1" ht="30" customHeight="1" spans="1:11">
      <c r="A60" s="436" t="s">
        <v>70</v>
      </c>
      <c r="B60" s="53">
        <v>14847</v>
      </c>
      <c r="C60" s="449">
        <v>18372</v>
      </c>
      <c r="D60" s="53">
        <f>19840.79+9.04</f>
        <v>19849.83</v>
      </c>
      <c r="E60" s="411"/>
      <c r="F60" s="53">
        <v>9670</v>
      </c>
      <c r="G60" s="53">
        <f t="shared" si="25"/>
        <v>10179.83</v>
      </c>
      <c r="H60" s="411">
        <v>1</v>
      </c>
      <c r="I60" s="464">
        <v>5261</v>
      </c>
      <c r="J60" s="53">
        <f t="shared" si="4"/>
        <v>-14588.83</v>
      </c>
      <c r="K60" s="411">
        <f t="shared" si="27"/>
        <v>-0.734959946760249</v>
      </c>
    </row>
    <row r="61" s="394" customFormat="1" ht="30" customHeight="1" spans="1:11">
      <c r="A61" s="436" t="s">
        <v>71</v>
      </c>
      <c r="B61" s="53">
        <v>21413</v>
      </c>
      <c r="C61" s="449">
        <v>23153.37</v>
      </c>
      <c r="D61" s="53">
        <v>23864.86</v>
      </c>
      <c r="E61" s="411"/>
      <c r="F61" s="53">
        <v>21237</v>
      </c>
      <c r="G61" s="53">
        <f t="shared" si="25"/>
        <v>2627.86</v>
      </c>
      <c r="H61" s="411">
        <v>1</v>
      </c>
      <c r="I61" s="464">
        <v>16298</v>
      </c>
      <c r="J61" s="53">
        <f t="shared" si="4"/>
        <v>-7566.86</v>
      </c>
      <c r="K61" s="411">
        <f t="shared" si="27"/>
        <v>-0.317071208462987</v>
      </c>
    </row>
    <row r="62" s="394" customFormat="1" ht="30" customHeight="1" spans="1:11">
      <c r="A62" s="436" t="s">
        <v>72</v>
      </c>
      <c r="B62" s="53"/>
      <c r="C62" s="449">
        <v>2750</v>
      </c>
      <c r="D62" s="53">
        <v>2750</v>
      </c>
      <c r="E62" s="411"/>
      <c r="F62" s="53">
        <v>431</v>
      </c>
      <c r="G62" s="53">
        <f t="shared" si="25"/>
        <v>2319</v>
      </c>
      <c r="H62" s="411">
        <v>1</v>
      </c>
      <c r="I62" s="464">
        <v>2750</v>
      </c>
      <c r="J62" s="53">
        <f t="shared" si="4"/>
        <v>0</v>
      </c>
      <c r="K62" s="411">
        <f t="shared" si="27"/>
        <v>0</v>
      </c>
    </row>
    <row r="63" s="394" customFormat="1" ht="30" customHeight="1" spans="1:11">
      <c r="A63" s="436" t="s">
        <v>73</v>
      </c>
      <c r="B63" s="53">
        <v>16613</v>
      </c>
      <c r="C63" s="449">
        <v>20024.45</v>
      </c>
      <c r="D63" s="53">
        <v>21605.45</v>
      </c>
      <c r="E63" s="411"/>
      <c r="F63" s="53">
        <v>18428</v>
      </c>
      <c r="G63" s="53">
        <f t="shared" si="25"/>
        <v>3177.45</v>
      </c>
      <c r="H63" s="411">
        <v>1</v>
      </c>
      <c r="I63" s="464">
        <v>21555.45</v>
      </c>
      <c r="J63" s="53">
        <f t="shared" si="4"/>
        <v>-50</v>
      </c>
      <c r="K63" s="411">
        <f t="shared" si="27"/>
        <v>-0.00231423090007382</v>
      </c>
    </row>
    <row r="64" s="394" customFormat="1" ht="30" customHeight="1" spans="1:11">
      <c r="A64" s="436" t="s">
        <v>74</v>
      </c>
      <c r="B64" s="53">
        <v>1074</v>
      </c>
      <c r="C64" s="449">
        <v>1074</v>
      </c>
      <c r="D64" s="53">
        <v>1074</v>
      </c>
      <c r="E64" s="411"/>
      <c r="F64" s="53">
        <v>282</v>
      </c>
      <c r="G64" s="53"/>
      <c r="H64" s="411"/>
      <c r="I64" s="464">
        <v>1074</v>
      </c>
      <c r="J64" s="53">
        <f t="shared" si="4"/>
        <v>0</v>
      </c>
      <c r="K64" s="411">
        <f t="shared" si="27"/>
        <v>0</v>
      </c>
    </row>
    <row r="65" s="394" customFormat="1" ht="30" customHeight="1" spans="1:11">
      <c r="A65" s="436" t="s">
        <v>75</v>
      </c>
      <c r="B65" s="53">
        <v>1762</v>
      </c>
      <c r="C65" s="449">
        <v>743.88</v>
      </c>
      <c r="D65" s="53">
        <v>743.88</v>
      </c>
      <c r="E65" s="411"/>
      <c r="F65" s="53">
        <v>3099</v>
      </c>
      <c r="G65" s="53">
        <f t="shared" ref="G65:G89" si="28">D65-F65</f>
        <v>-2355.12</v>
      </c>
      <c r="H65" s="411">
        <v>1</v>
      </c>
      <c r="I65" s="464">
        <v>743.88</v>
      </c>
      <c r="J65" s="53">
        <f t="shared" si="4"/>
        <v>0</v>
      </c>
      <c r="K65" s="411">
        <f t="shared" si="27"/>
        <v>0</v>
      </c>
    </row>
    <row r="66" s="394" customFormat="1" ht="30" customHeight="1" spans="1:11">
      <c r="A66" s="436" t="s">
        <v>76</v>
      </c>
      <c r="B66" s="53"/>
      <c r="C66" s="449">
        <v>6812.26</v>
      </c>
      <c r="D66" s="53">
        <v>808.5974</v>
      </c>
      <c r="E66" s="411"/>
      <c r="F66" s="53">
        <v>185</v>
      </c>
      <c r="G66" s="53">
        <f t="shared" si="28"/>
        <v>623.5974</v>
      </c>
      <c r="H66" s="411">
        <v>1</v>
      </c>
      <c r="I66" s="464"/>
      <c r="J66" s="53">
        <f t="shared" si="4"/>
        <v>-808.5974</v>
      </c>
      <c r="K66" s="411">
        <f t="shared" si="27"/>
        <v>-1</v>
      </c>
    </row>
    <row r="67" s="394" customFormat="1" ht="21.75" customHeight="1" spans="1:11">
      <c r="A67" s="436" t="s">
        <v>77</v>
      </c>
      <c r="B67" s="53">
        <v>9560</v>
      </c>
      <c r="C67" s="53">
        <v>7544</v>
      </c>
      <c r="D67" s="53">
        <v>7544</v>
      </c>
      <c r="E67" s="411">
        <f t="shared" ref="E67:E71" si="29">D67/C67</f>
        <v>1</v>
      </c>
      <c r="F67" s="53">
        <v>9560</v>
      </c>
      <c r="G67" s="53">
        <f t="shared" si="28"/>
        <v>-2016</v>
      </c>
      <c r="H67" s="411">
        <f t="shared" ref="H67:H71" si="30">G67/F67</f>
        <v>-0.210878661087866</v>
      </c>
      <c r="I67" s="427">
        <v>7544</v>
      </c>
      <c r="J67" s="53">
        <f t="shared" si="4"/>
        <v>0</v>
      </c>
      <c r="K67" s="411">
        <f t="shared" si="27"/>
        <v>0</v>
      </c>
    </row>
    <row r="68" s="394" customFormat="1" ht="21.75" customHeight="1" spans="1:11">
      <c r="A68" s="436" t="s">
        <v>78</v>
      </c>
      <c r="B68" s="53">
        <v>13099</v>
      </c>
      <c r="C68" s="53">
        <v>13099</v>
      </c>
      <c r="D68" s="53">
        <v>13099</v>
      </c>
      <c r="E68" s="411">
        <f t="shared" si="29"/>
        <v>1</v>
      </c>
      <c r="F68" s="53">
        <v>13099</v>
      </c>
      <c r="G68" s="53">
        <f t="shared" si="28"/>
        <v>0</v>
      </c>
      <c r="H68" s="411">
        <f t="shared" si="30"/>
        <v>0</v>
      </c>
      <c r="I68" s="427">
        <v>13099</v>
      </c>
      <c r="J68" s="53">
        <f t="shared" si="4"/>
        <v>0</v>
      </c>
      <c r="K68" s="411">
        <f t="shared" si="27"/>
        <v>0</v>
      </c>
    </row>
    <row r="69" s="394" customFormat="1" ht="21.75" customHeight="1" spans="1:11">
      <c r="A69" s="436" t="s">
        <v>79</v>
      </c>
      <c r="B69" s="53">
        <v>907</v>
      </c>
      <c r="C69" s="53"/>
      <c r="D69" s="53">
        <v>8284.2571</v>
      </c>
      <c r="E69" s="411"/>
      <c r="F69" s="53">
        <v>978</v>
      </c>
      <c r="G69" s="53">
        <f t="shared" si="28"/>
        <v>7306.2571</v>
      </c>
      <c r="H69" s="411">
        <f t="shared" si="30"/>
        <v>7.47061053169734</v>
      </c>
      <c r="I69" s="427">
        <v>384.62</v>
      </c>
      <c r="J69" s="53">
        <f t="shared" si="4"/>
        <v>-7899.6371</v>
      </c>
      <c r="K69" s="411">
        <f t="shared" si="27"/>
        <v>-0.953572179694906</v>
      </c>
    </row>
    <row r="70" s="394" customFormat="1" ht="21.75" customHeight="1" spans="1:11">
      <c r="A70" s="448" t="s">
        <v>80</v>
      </c>
      <c r="B70" s="413">
        <f t="shared" ref="B70:F70" si="31">SUM(B71:B91)</f>
        <v>81271</v>
      </c>
      <c r="C70" s="413">
        <f t="shared" si="31"/>
        <v>67163.399</v>
      </c>
      <c r="D70" s="413">
        <f t="shared" si="31"/>
        <v>53746.8955</v>
      </c>
      <c r="E70" s="411">
        <f t="shared" si="29"/>
        <v>0.800240849930779</v>
      </c>
      <c r="F70" s="413">
        <f t="shared" si="31"/>
        <v>63579</v>
      </c>
      <c r="G70" s="53">
        <f t="shared" si="28"/>
        <v>-9832.1045</v>
      </c>
      <c r="H70" s="414">
        <f t="shared" si="30"/>
        <v>-0.154643899715315</v>
      </c>
      <c r="I70" s="413">
        <f>SUM(I71:I91)</f>
        <v>96729.91</v>
      </c>
      <c r="J70" s="53">
        <f t="shared" si="4"/>
        <v>42983.0145</v>
      </c>
      <c r="K70" s="411">
        <f t="shared" si="27"/>
        <v>0.799730181625095</v>
      </c>
    </row>
    <row r="71" s="394" customFormat="1" ht="21.75" customHeight="1" spans="1:11">
      <c r="A71" s="436" t="s">
        <v>81</v>
      </c>
      <c r="B71" s="53">
        <v>126</v>
      </c>
      <c r="C71" s="449">
        <v>439.868</v>
      </c>
      <c r="D71" s="465">
        <v>103</v>
      </c>
      <c r="E71" s="411">
        <f t="shared" si="29"/>
        <v>0.234161157438141</v>
      </c>
      <c r="F71" s="53">
        <v>194</v>
      </c>
      <c r="G71" s="53">
        <f t="shared" si="28"/>
        <v>-91</v>
      </c>
      <c r="H71" s="411">
        <f t="shared" si="30"/>
        <v>-0.469072164948454</v>
      </c>
      <c r="I71" s="427">
        <v>127.78</v>
      </c>
      <c r="J71" s="53">
        <f t="shared" ref="J71:J92" si="32">I71-D71</f>
        <v>24.78</v>
      </c>
      <c r="K71" s="411">
        <f t="shared" si="27"/>
        <v>0.240582524271845</v>
      </c>
    </row>
    <row r="72" s="394" customFormat="1" ht="21.75" customHeight="1" spans="1:11">
      <c r="A72" s="436" t="s">
        <v>82</v>
      </c>
      <c r="B72" s="53"/>
      <c r="C72" s="53"/>
      <c r="D72" s="53"/>
      <c r="E72" s="411"/>
      <c r="F72" s="53"/>
      <c r="G72" s="53">
        <f t="shared" si="28"/>
        <v>0</v>
      </c>
      <c r="H72" s="411"/>
      <c r="I72" s="427"/>
      <c r="J72" s="53">
        <f t="shared" si="32"/>
        <v>0</v>
      </c>
      <c r="K72" s="411"/>
    </row>
    <row r="73" s="394" customFormat="1" ht="21.75" customHeight="1" spans="1:11">
      <c r="A73" s="436" t="s">
        <v>83</v>
      </c>
      <c r="B73" s="53"/>
      <c r="C73" s="449"/>
      <c r="D73" s="53"/>
      <c r="E73" s="411"/>
      <c r="F73" s="53"/>
      <c r="G73" s="53">
        <f t="shared" si="28"/>
        <v>0</v>
      </c>
      <c r="H73" s="411"/>
      <c r="I73" s="427">
        <v>0</v>
      </c>
      <c r="J73" s="53">
        <f t="shared" si="32"/>
        <v>0</v>
      </c>
      <c r="K73" s="411"/>
    </row>
    <row r="74" s="394" customFormat="1" ht="21.75" customHeight="1" spans="1:11">
      <c r="A74" s="436" t="s">
        <v>84</v>
      </c>
      <c r="B74" s="53">
        <v>1560</v>
      </c>
      <c r="C74" s="53"/>
      <c r="D74" s="466">
        <v>1125</v>
      </c>
      <c r="E74" s="411"/>
      <c r="F74" s="53">
        <v>1568</v>
      </c>
      <c r="G74" s="53">
        <f t="shared" si="28"/>
        <v>-443</v>
      </c>
      <c r="H74" s="411">
        <f t="shared" ref="H74:H88" si="33">G74/F74</f>
        <v>-0.282525510204082</v>
      </c>
      <c r="I74" s="427">
        <f>1905.7-905.7</f>
        <v>1000</v>
      </c>
      <c r="J74" s="53">
        <f t="shared" si="32"/>
        <v>-125</v>
      </c>
      <c r="K74" s="411">
        <f t="shared" ref="K74:K85" si="34">J74/D74</f>
        <v>-0.111111111111111</v>
      </c>
    </row>
    <row r="75" s="394" customFormat="1" ht="21.75" customHeight="1" spans="1:11">
      <c r="A75" s="436" t="s">
        <v>85</v>
      </c>
      <c r="B75" s="467">
        <v>21163</v>
      </c>
      <c r="C75" s="53">
        <v>13714.052</v>
      </c>
      <c r="D75" s="466">
        <v>745</v>
      </c>
      <c r="E75" s="411">
        <f t="shared" ref="E75:E85" si="35">D75/C75</f>
        <v>0.0543238424354815</v>
      </c>
      <c r="F75" s="79">
        <v>3992</v>
      </c>
      <c r="G75" s="53">
        <f t="shared" si="28"/>
        <v>-3247</v>
      </c>
      <c r="H75" s="411">
        <f t="shared" si="33"/>
        <v>-0.813376753507014</v>
      </c>
      <c r="I75" s="474">
        <f>16663.47-8921.47</f>
        <v>7742</v>
      </c>
      <c r="J75" s="53">
        <f t="shared" si="32"/>
        <v>6997</v>
      </c>
      <c r="K75" s="411">
        <f t="shared" si="34"/>
        <v>9.39194630872483</v>
      </c>
    </row>
    <row r="76" s="394" customFormat="1" ht="21.75" customHeight="1" spans="1:11">
      <c r="A76" s="436" t="s">
        <v>86</v>
      </c>
      <c r="B76" s="467">
        <v>10</v>
      </c>
      <c r="C76" s="53">
        <v>10</v>
      </c>
      <c r="D76" s="466"/>
      <c r="E76" s="411">
        <f t="shared" si="35"/>
        <v>0</v>
      </c>
      <c r="F76" s="79"/>
      <c r="G76" s="53">
        <f t="shared" si="28"/>
        <v>0</v>
      </c>
      <c r="H76" s="411" t="e">
        <f t="shared" si="33"/>
        <v>#DIV/0!</v>
      </c>
      <c r="I76" s="474">
        <v>0</v>
      </c>
      <c r="J76" s="53">
        <f t="shared" si="32"/>
        <v>0</v>
      </c>
      <c r="K76" s="411"/>
    </row>
    <row r="77" s="394" customFormat="1" ht="21.75" customHeight="1" spans="1:11">
      <c r="A77" s="436" t="s">
        <v>87</v>
      </c>
      <c r="B77" s="467">
        <v>1324</v>
      </c>
      <c r="C77" s="53">
        <v>2078.7</v>
      </c>
      <c r="D77" s="466">
        <v>917.5</v>
      </c>
      <c r="E77" s="411">
        <f t="shared" si="35"/>
        <v>0.441381632751239</v>
      </c>
      <c r="F77" s="79">
        <v>380</v>
      </c>
      <c r="G77" s="53">
        <f t="shared" si="28"/>
        <v>537.5</v>
      </c>
      <c r="H77" s="411">
        <f t="shared" si="33"/>
        <v>1.41447368421053</v>
      </c>
      <c r="I77" s="474">
        <f>1295-613.6</f>
        <v>681.4</v>
      </c>
      <c r="J77" s="53">
        <f t="shared" si="32"/>
        <v>-236.1</v>
      </c>
      <c r="K77" s="411">
        <f t="shared" si="34"/>
        <v>-0.25732970027248</v>
      </c>
    </row>
    <row r="78" s="394" customFormat="1" ht="21.75" customHeight="1" spans="1:11">
      <c r="A78" s="436" t="s">
        <v>88</v>
      </c>
      <c r="B78" s="467">
        <v>2689</v>
      </c>
      <c r="C78" s="53">
        <v>3261.57</v>
      </c>
      <c r="D78" s="466">
        <v>454.71</v>
      </c>
      <c r="E78" s="411">
        <f t="shared" si="35"/>
        <v>0.139414453775329</v>
      </c>
      <c r="F78" s="79">
        <v>1978</v>
      </c>
      <c r="G78" s="53">
        <f t="shared" si="28"/>
        <v>-1523.29</v>
      </c>
      <c r="H78" s="411">
        <f t="shared" si="33"/>
        <v>-0.770116279069767</v>
      </c>
      <c r="I78" s="474">
        <f>13165.23-5261-2</f>
        <v>7902.23</v>
      </c>
      <c r="J78" s="53">
        <f t="shared" si="32"/>
        <v>7447.52</v>
      </c>
      <c r="K78" s="411">
        <f t="shared" si="34"/>
        <v>16.3786149413912</v>
      </c>
    </row>
    <row r="79" s="394" customFormat="1" ht="21.75" customHeight="1" spans="1:11">
      <c r="A79" s="436" t="s">
        <v>89</v>
      </c>
      <c r="B79" s="467"/>
      <c r="C79" s="53">
        <v>2685.5</v>
      </c>
      <c r="D79" s="466">
        <f>1250.86+75</f>
        <v>1325.86</v>
      </c>
      <c r="E79" s="411">
        <f t="shared" si="35"/>
        <v>0.493710668404394</v>
      </c>
      <c r="F79" s="79">
        <v>2359</v>
      </c>
      <c r="G79" s="53">
        <f t="shared" si="28"/>
        <v>-1033.14</v>
      </c>
      <c r="H79" s="411">
        <f t="shared" si="33"/>
        <v>-0.437956761339551</v>
      </c>
      <c r="I79" s="474">
        <f>21511.98-16298</f>
        <v>5213.98</v>
      </c>
      <c r="J79" s="53">
        <f t="shared" si="32"/>
        <v>3888.12</v>
      </c>
      <c r="K79" s="411">
        <f t="shared" si="34"/>
        <v>2.93252681278566</v>
      </c>
    </row>
    <row r="80" s="394" customFormat="1" ht="21.75" customHeight="1" spans="1:11">
      <c r="A80" s="436" t="s">
        <v>90</v>
      </c>
      <c r="B80" s="467">
        <v>2713</v>
      </c>
      <c r="C80" s="53">
        <v>603.66</v>
      </c>
      <c r="D80" s="466">
        <v>1163.66</v>
      </c>
      <c r="E80" s="411">
        <f t="shared" si="35"/>
        <v>1.92767451876884</v>
      </c>
      <c r="F80" s="79">
        <v>1784</v>
      </c>
      <c r="G80" s="53">
        <f t="shared" si="28"/>
        <v>-620.34</v>
      </c>
      <c r="H80" s="411">
        <f t="shared" si="33"/>
        <v>-0.347724215246637</v>
      </c>
      <c r="I80" s="474">
        <f>4285.36-2750</f>
        <v>1535.36</v>
      </c>
      <c r="J80" s="53">
        <f t="shared" si="32"/>
        <v>371.7</v>
      </c>
      <c r="K80" s="411">
        <f t="shared" si="34"/>
        <v>0.319423199216266</v>
      </c>
    </row>
    <row r="81" s="394" customFormat="1" ht="21.75" customHeight="1" spans="1:11">
      <c r="A81" s="436" t="s">
        <v>91</v>
      </c>
      <c r="B81" s="467">
        <v>8146</v>
      </c>
      <c r="C81" s="468">
        <v>1973</v>
      </c>
      <c r="D81" s="466">
        <v>2969.4</v>
      </c>
      <c r="E81" s="411">
        <f t="shared" si="35"/>
        <v>1.50501773948302</v>
      </c>
      <c r="F81" s="79">
        <v>3765</v>
      </c>
      <c r="G81" s="53">
        <f t="shared" si="28"/>
        <v>-795.6</v>
      </c>
      <c r="H81" s="411">
        <f t="shared" si="33"/>
        <v>-0.211314741035857</v>
      </c>
      <c r="I81" s="474">
        <v>4500</v>
      </c>
      <c r="J81" s="53">
        <f t="shared" si="32"/>
        <v>1530.6</v>
      </c>
      <c r="K81" s="411">
        <f t="shared" si="34"/>
        <v>0.515457668215801</v>
      </c>
    </row>
    <row r="82" s="394" customFormat="1" ht="21.75" customHeight="1" spans="1:11">
      <c r="A82" s="436" t="s">
        <v>92</v>
      </c>
      <c r="B82" s="467">
        <v>39800</v>
      </c>
      <c r="C82" s="468">
        <v>33287.589</v>
      </c>
      <c r="D82" s="466">
        <v>32909</v>
      </c>
      <c r="E82" s="411">
        <f t="shared" si="35"/>
        <v>0.988626722109553</v>
      </c>
      <c r="F82" s="79">
        <v>38940</v>
      </c>
      <c r="G82" s="53">
        <f t="shared" si="28"/>
        <v>-6031</v>
      </c>
      <c r="H82" s="411">
        <f t="shared" si="33"/>
        <v>-0.154879301489471</v>
      </c>
      <c r="I82" s="474">
        <f>84543.11-21555.45-1260</f>
        <v>61727.66</v>
      </c>
      <c r="J82" s="53">
        <f t="shared" si="32"/>
        <v>28818.66</v>
      </c>
      <c r="K82" s="411">
        <f t="shared" si="34"/>
        <v>0.875707557203197</v>
      </c>
    </row>
    <row r="83" s="394" customFormat="1" ht="21.75" customHeight="1" spans="1:11">
      <c r="A83" s="436" t="s">
        <v>93</v>
      </c>
      <c r="B83" s="467">
        <v>780</v>
      </c>
      <c r="C83" s="468">
        <v>4636.21</v>
      </c>
      <c r="D83" s="466">
        <v>4663.72</v>
      </c>
      <c r="E83" s="411">
        <f t="shared" si="35"/>
        <v>1.00593372603916</v>
      </c>
      <c r="F83" s="79">
        <v>3174</v>
      </c>
      <c r="G83" s="53">
        <f t="shared" si="28"/>
        <v>1489.72</v>
      </c>
      <c r="H83" s="411">
        <f t="shared" si="33"/>
        <v>0.46935097668557</v>
      </c>
      <c r="I83" s="474">
        <f>4931-1074</f>
        <v>3857</v>
      </c>
      <c r="J83" s="53">
        <f t="shared" si="32"/>
        <v>-806.72</v>
      </c>
      <c r="K83" s="411">
        <f t="shared" si="34"/>
        <v>-0.172977794550273</v>
      </c>
    </row>
    <row r="84" s="394" customFormat="1" ht="21.75" customHeight="1" spans="1:11">
      <c r="A84" s="436" t="s">
        <v>94</v>
      </c>
      <c r="B84" s="467"/>
      <c r="C84" s="469">
        <v>55</v>
      </c>
      <c r="D84" s="466">
        <v>915.0455</v>
      </c>
      <c r="E84" s="411">
        <f t="shared" si="35"/>
        <v>16.6371909090909</v>
      </c>
      <c r="F84" s="79">
        <v>720</v>
      </c>
      <c r="G84" s="53">
        <f t="shared" si="28"/>
        <v>195.0455</v>
      </c>
      <c r="H84" s="411">
        <f t="shared" si="33"/>
        <v>0.270896527777778</v>
      </c>
      <c r="I84" s="474">
        <v>380</v>
      </c>
      <c r="J84" s="53">
        <f t="shared" si="32"/>
        <v>-535.0455</v>
      </c>
      <c r="K84" s="411">
        <f t="shared" si="34"/>
        <v>-0.584720104082256</v>
      </c>
    </row>
    <row r="85" s="394" customFormat="1" ht="21.75" customHeight="1" spans="1:11">
      <c r="A85" s="436" t="s">
        <v>95</v>
      </c>
      <c r="B85" s="467">
        <v>1015</v>
      </c>
      <c r="C85" s="469">
        <v>530.85</v>
      </c>
      <c r="D85" s="466">
        <v>1324</v>
      </c>
      <c r="E85" s="411">
        <f t="shared" si="35"/>
        <v>2.49411321465574</v>
      </c>
      <c r="F85" s="79">
        <v>445</v>
      </c>
      <c r="G85" s="53">
        <f t="shared" si="28"/>
        <v>879</v>
      </c>
      <c r="H85" s="411">
        <f t="shared" si="33"/>
        <v>1.9752808988764</v>
      </c>
      <c r="I85" s="474">
        <v>800</v>
      </c>
      <c r="J85" s="53">
        <f t="shared" si="32"/>
        <v>-524</v>
      </c>
      <c r="K85" s="411">
        <f t="shared" si="34"/>
        <v>-0.395770392749245</v>
      </c>
    </row>
    <row r="86" s="394" customFormat="1" ht="21.75" customHeight="1" spans="1:11">
      <c r="A86" s="436" t="s">
        <v>96</v>
      </c>
      <c r="B86" s="467"/>
      <c r="C86" s="449"/>
      <c r="D86" s="466"/>
      <c r="E86" s="411"/>
      <c r="F86" s="53">
        <v>20</v>
      </c>
      <c r="G86" s="53">
        <f t="shared" si="28"/>
        <v>-20</v>
      </c>
      <c r="H86" s="411">
        <f t="shared" si="33"/>
        <v>-1</v>
      </c>
      <c r="I86" s="474"/>
      <c r="J86" s="53">
        <f t="shared" si="32"/>
        <v>0</v>
      </c>
      <c r="K86" s="411"/>
    </row>
    <row r="87" s="394" customFormat="1" ht="21.75" customHeight="1" spans="1:11">
      <c r="A87" s="436" t="s">
        <v>97</v>
      </c>
      <c r="B87" s="467">
        <v>1945</v>
      </c>
      <c r="C87" s="53">
        <v>2613.24</v>
      </c>
      <c r="D87" s="466">
        <v>2191</v>
      </c>
      <c r="E87" s="411">
        <f t="shared" ref="E87:E90" si="36">D87/C87</f>
        <v>0.838422800814315</v>
      </c>
      <c r="F87" s="79">
        <v>327</v>
      </c>
      <c r="G87" s="53">
        <f t="shared" si="28"/>
        <v>1864</v>
      </c>
      <c r="H87" s="411">
        <f t="shared" si="33"/>
        <v>5.70030581039755</v>
      </c>
      <c r="I87" s="474"/>
      <c r="J87" s="53">
        <f t="shared" si="32"/>
        <v>-2191</v>
      </c>
      <c r="K87" s="411">
        <f t="shared" ref="K87:K91" si="37">J87/D87</f>
        <v>-1</v>
      </c>
    </row>
    <row r="88" s="394" customFormat="1" ht="21.75" customHeight="1" spans="1:11">
      <c r="A88" s="436" t="s">
        <v>98</v>
      </c>
      <c r="B88" s="467"/>
      <c r="C88" s="53">
        <v>287.43</v>
      </c>
      <c r="D88" s="466"/>
      <c r="E88" s="411">
        <f t="shared" si="36"/>
        <v>0</v>
      </c>
      <c r="F88" s="79">
        <v>417</v>
      </c>
      <c r="G88" s="53">
        <f t="shared" si="28"/>
        <v>-417</v>
      </c>
      <c r="H88" s="411">
        <f t="shared" si="33"/>
        <v>-1</v>
      </c>
      <c r="I88" s="474">
        <f>1980-743.88</f>
        <v>1236.12</v>
      </c>
      <c r="J88" s="53">
        <f t="shared" si="32"/>
        <v>1236.12</v>
      </c>
      <c r="K88" s="411"/>
    </row>
    <row r="89" s="394" customFormat="1" ht="21.75" customHeight="1" spans="1:11">
      <c r="A89" s="436" t="s">
        <v>99</v>
      </c>
      <c r="B89" s="467"/>
      <c r="C89" s="53">
        <v>628.73</v>
      </c>
      <c r="D89" s="466"/>
      <c r="E89" s="411"/>
      <c r="F89" s="79"/>
      <c r="G89" s="53">
        <f t="shared" si="28"/>
        <v>0</v>
      </c>
      <c r="H89" s="411"/>
      <c r="I89" s="474"/>
      <c r="J89" s="53">
        <f t="shared" si="32"/>
        <v>0</v>
      </c>
      <c r="K89" s="411"/>
    </row>
    <row r="90" s="394" customFormat="1" ht="21.75" customHeight="1" spans="1:11">
      <c r="A90" s="436" t="s">
        <v>100</v>
      </c>
      <c r="B90" s="53"/>
      <c r="C90" s="53">
        <v>358</v>
      </c>
      <c r="D90" s="79">
        <v>328</v>
      </c>
      <c r="E90" s="411">
        <f t="shared" si="36"/>
        <v>0.916201117318436</v>
      </c>
      <c r="F90" s="53"/>
      <c r="G90" s="53"/>
      <c r="H90" s="411"/>
      <c r="I90" s="427"/>
      <c r="J90" s="53">
        <f t="shared" si="32"/>
        <v>-328</v>
      </c>
      <c r="K90" s="411">
        <f t="shared" si="37"/>
        <v>-1</v>
      </c>
    </row>
    <row r="91" s="394" customFormat="1" ht="21.75" customHeight="1" spans="1:11">
      <c r="A91" s="436" t="s">
        <v>101</v>
      </c>
      <c r="B91" s="53"/>
      <c r="C91" s="470"/>
      <c r="D91" s="53">
        <f>2611+1</f>
        <v>2612</v>
      </c>
      <c r="E91" s="411"/>
      <c r="F91" s="53">
        <v>3516</v>
      </c>
      <c r="G91" s="53"/>
      <c r="H91" s="411"/>
      <c r="I91" s="427">
        <f>3.58+22.8</f>
        <v>26.38</v>
      </c>
      <c r="J91" s="53">
        <f t="shared" si="32"/>
        <v>-2585.62</v>
      </c>
      <c r="K91" s="411">
        <f t="shared" si="37"/>
        <v>-0.98990045941807</v>
      </c>
    </row>
    <row r="92" s="431" customFormat="1" ht="21.75" customHeight="1" spans="1:11">
      <c r="A92" s="448" t="s">
        <v>102</v>
      </c>
      <c r="B92" s="413"/>
      <c r="C92" s="413"/>
      <c r="E92" s="411"/>
      <c r="F92" s="413"/>
      <c r="G92" s="53">
        <f t="shared" ref="G92:G103" si="38">D92-F92</f>
        <v>0</v>
      </c>
      <c r="H92" s="414"/>
      <c r="I92" s="475"/>
      <c r="J92" s="53">
        <f t="shared" si="32"/>
        <v>0</v>
      </c>
      <c r="K92" s="411"/>
    </row>
    <row r="93" s="431" customFormat="1" ht="21.75" customHeight="1" spans="1:11">
      <c r="A93" s="471" t="s">
        <v>103</v>
      </c>
      <c r="B93" s="413">
        <f t="shared" ref="B93:F93" si="39">B94+B97</f>
        <v>25009</v>
      </c>
      <c r="C93" s="413">
        <f t="shared" si="39"/>
        <v>25316</v>
      </c>
      <c r="D93" s="413">
        <f t="shared" si="39"/>
        <v>25316</v>
      </c>
      <c r="E93" s="430">
        <v>0.1359</v>
      </c>
      <c r="F93" s="413">
        <f t="shared" si="39"/>
        <v>7983</v>
      </c>
      <c r="G93" s="413">
        <f t="shared" si="38"/>
        <v>17333</v>
      </c>
      <c r="H93" s="414">
        <f t="shared" ref="H93:H95" si="40">G93/F93</f>
        <v>2.17123888262558</v>
      </c>
      <c r="I93" s="413">
        <f>I94+I97</f>
        <v>8590</v>
      </c>
      <c r="J93" s="413"/>
      <c r="K93" s="414">
        <f t="shared" ref="K93:K95" si="41">J93/D93</f>
        <v>0</v>
      </c>
    </row>
    <row r="94" s="431" customFormat="1" ht="21.75" customHeight="1" spans="1:11">
      <c r="A94" s="471" t="s">
        <v>104</v>
      </c>
      <c r="B94" s="413">
        <f>B95+B96</f>
        <v>25009</v>
      </c>
      <c r="C94" s="413">
        <f t="shared" ref="C94:F94" si="42">SUM(C95:C96)</f>
        <v>25316</v>
      </c>
      <c r="D94" s="413">
        <f t="shared" si="42"/>
        <v>25316</v>
      </c>
      <c r="E94" s="414">
        <f>D94/C94</f>
        <v>1</v>
      </c>
      <c r="F94" s="413">
        <f t="shared" si="42"/>
        <v>7983</v>
      </c>
      <c r="G94" s="413">
        <f t="shared" si="38"/>
        <v>17333</v>
      </c>
      <c r="H94" s="414">
        <f t="shared" si="40"/>
        <v>2.17123888262558</v>
      </c>
      <c r="I94" s="413">
        <f>I95+I96</f>
        <v>8590</v>
      </c>
      <c r="J94" s="413"/>
      <c r="K94" s="414">
        <f t="shared" si="41"/>
        <v>0</v>
      </c>
    </row>
    <row r="95" s="394" customFormat="1" ht="21.75" customHeight="1" spans="1:11">
      <c r="A95" s="472" t="s">
        <v>105</v>
      </c>
      <c r="B95" s="53">
        <v>25009</v>
      </c>
      <c r="C95" s="53">
        <v>25316</v>
      </c>
      <c r="D95" s="53">
        <v>25316</v>
      </c>
      <c r="E95" s="411">
        <f>D95/C95</f>
        <v>1</v>
      </c>
      <c r="F95" s="53">
        <v>7983</v>
      </c>
      <c r="G95" s="53">
        <f t="shared" si="38"/>
        <v>17333</v>
      </c>
      <c r="H95" s="411">
        <f t="shared" si="40"/>
        <v>2.17123888262558</v>
      </c>
      <c r="I95" s="53">
        <f>8627-37</f>
        <v>8590</v>
      </c>
      <c r="J95" s="53"/>
      <c r="K95" s="411">
        <f t="shared" si="41"/>
        <v>0</v>
      </c>
    </row>
    <row r="96" s="394" customFormat="1" ht="21.75" customHeight="1" spans="1:11">
      <c r="A96" s="472" t="s">
        <v>106</v>
      </c>
      <c r="B96" s="53"/>
      <c r="C96" s="53"/>
      <c r="D96" s="470"/>
      <c r="E96" s="411"/>
      <c r="F96" s="53"/>
      <c r="G96" s="53">
        <f t="shared" si="38"/>
        <v>0</v>
      </c>
      <c r="H96" s="411"/>
      <c r="I96" s="53"/>
      <c r="J96" s="53">
        <f t="shared" ref="J96:J99" si="43">I96-D96</f>
        <v>0</v>
      </c>
      <c r="K96" s="411"/>
    </row>
    <row r="97" s="431" customFormat="1" ht="21.75" customHeight="1" spans="1:11">
      <c r="A97" s="471" t="s">
        <v>107</v>
      </c>
      <c r="B97" s="53">
        <f>SUM(B98:B99)</f>
        <v>0</v>
      </c>
      <c r="C97" s="53">
        <f>SUM(C98:C99)</f>
        <v>0</v>
      </c>
      <c r="D97" s="413"/>
      <c r="E97" s="411"/>
      <c r="F97" s="53"/>
      <c r="G97" s="53">
        <f t="shared" si="38"/>
        <v>0</v>
      </c>
      <c r="H97" s="411"/>
      <c r="I97" s="53">
        <f>SUM(I98:I99)</f>
        <v>0</v>
      </c>
      <c r="J97" s="53">
        <f t="shared" si="43"/>
        <v>0</v>
      </c>
      <c r="K97" s="411"/>
    </row>
    <row r="98" s="394" customFormat="1" ht="21.75" customHeight="1" spans="1:11">
      <c r="A98" s="472" t="s">
        <v>105</v>
      </c>
      <c r="B98" s="53"/>
      <c r="C98" s="53"/>
      <c r="D98" s="53"/>
      <c r="E98" s="411"/>
      <c r="F98" s="53"/>
      <c r="G98" s="53">
        <f t="shared" si="38"/>
        <v>0</v>
      </c>
      <c r="H98" s="411"/>
      <c r="I98" s="53"/>
      <c r="J98" s="53">
        <f t="shared" si="43"/>
        <v>0</v>
      </c>
      <c r="K98" s="411"/>
    </row>
    <row r="99" s="394" customFormat="1" ht="21.75" customHeight="1" spans="1:11">
      <c r="A99" s="472" t="s">
        <v>106</v>
      </c>
      <c r="B99" s="53"/>
      <c r="C99" s="53"/>
      <c r="D99" s="413"/>
      <c r="E99" s="411"/>
      <c r="F99" s="53"/>
      <c r="G99" s="53">
        <f t="shared" si="38"/>
        <v>0</v>
      </c>
      <c r="H99" s="411"/>
      <c r="I99" s="53"/>
      <c r="J99" s="53">
        <f t="shared" si="43"/>
        <v>0</v>
      </c>
      <c r="K99" s="411"/>
    </row>
    <row r="100" s="394" customFormat="1" ht="21.75" customHeight="1" spans="1:11">
      <c r="A100" s="471" t="s">
        <v>108</v>
      </c>
      <c r="B100" s="413"/>
      <c r="C100" s="53"/>
      <c r="D100" s="53">
        <v>5467</v>
      </c>
      <c r="E100" s="411"/>
      <c r="F100" s="53">
        <v>1085</v>
      </c>
      <c r="G100" s="53">
        <f t="shared" si="38"/>
        <v>4382</v>
      </c>
      <c r="H100" s="411"/>
      <c r="I100" s="53"/>
      <c r="J100" s="53"/>
      <c r="K100" s="411"/>
    </row>
    <row r="101" s="394" customFormat="1" ht="21.75" customHeight="1" spans="1:11">
      <c r="A101" s="471" t="s">
        <v>109</v>
      </c>
      <c r="B101" s="413"/>
      <c r="C101" s="53"/>
      <c r="D101" s="473"/>
      <c r="E101" s="411"/>
      <c r="F101" s="53"/>
      <c r="G101" s="53">
        <f t="shared" si="38"/>
        <v>0</v>
      </c>
      <c r="H101" s="411"/>
      <c r="I101" s="53"/>
      <c r="J101" s="53">
        <f t="shared" ref="J101:J104" si="44">I101-D101</f>
        <v>0</v>
      </c>
      <c r="K101" s="411"/>
    </row>
    <row r="102" s="394" customFormat="1" ht="21.75" customHeight="1" spans="1:11">
      <c r="A102" s="435" t="s">
        <v>110</v>
      </c>
      <c r="B102" s="413"/>
      <c r="C102" s="53">
        <v>2900</v>
      </c>
      <c r="D102" s="449">
        <v>2900</v>
      </c>
      <c r="E102" s="411">
        <f>D102/C102</f>
        <v>1</v>
      </c>
      <c r="F102" s="53">
        <v>11700</v>
      </c>
      <c r="G102" s="53">
        <f t="shared" si="38"/>
        <v>-8800</v>
      </c>
      <c r="H102" s="411">
        <f>G102/F102</f>
        <v>-0.752136752136752</v>
      </c>
      <c r="I102" s="53"/>
      <c r="J102" s="53"/>
      <c r="K102" s="411"/>
    </row>
    <row r="103" s="394" customFormat="1" ht="21.75" customHeight="1" spans="1:11">
      <c r="A103" s="471" t="s">
        <v>111</v>
      </c>
      <c r="B103" s="413"/>
      <c r="C103" s="413"/>
      <c r="D103" s="413"/>
      <c r="E103" s="411"/>
      <c r="F103" s="53"/>
      <c r="G103" s="53">
        <f t="shared" si="38"/>
        <v>0</v>
      </c>
      <c r="H103" s="411"/>
      <c r="I103" s="413"/>
      <c r="J103" s="53">
        <f t="shared" si="44"/>
        <v>0</v>
      </c>
      <c r="K103" s="411"/>
    </row>
    <row r="104" s="394" customFormat="1" ht="21.75" customHeight="1" spans="1:11">
      <c r="A104" s="111" t="s">
        <v>112</v>
      </c>
      <c r="B104" s="413">
        <f t="shared" ref="B104:F104" si="45">B33+B34</f>
        <v>342560</v>
      </c>
      <c r="C104" s="413">
        <f t="shared" si="45"/>
        <v>390065.778</v>
      </c>
      <c r="D104" s="413">
        <f t="shared" si="45"/>
        <v>394144.678</v>
      </c>
      <c r="E104" s="414">
        <f>D104/C104</f>
        <v>1.01045695426272</v>
      </c>
      <c r="F104" s="413">
        <f t="shared" si="45"/>
        <v>387540</v>
      </c>
      <c r="G104" s="413">
        <v>37177</v>
      </c>
      <c r="H104" s="414">
        <f>G104/F104</f>
        <v>0.0959307426330185</v>
      </c>
      <c r="I104" s="413">
        <f>I33+I34</f>
        <v>325370.63</v>
      </c>
      <c r="J104" s="53">
        <f t="shared" si="44"/>
        <v>-68774.048</v>
      </c>
      <c r="K104" s="411">
        <f>J104/D104</f>
        <v>-0.174489348299662</v>
      </c>
    </row>
    <row r="105" s="394" customFormat="1" ht="24" customHeight="1" spans="1:10">
      <c r="A105" s="432"/>
      <c r="D105" s="396"/>
      <c r="J105" s="431"/>
    </row>
    <row r="106" s="394" customFormat="1" ht="24" customHeight="1" spans="1:10">
      <c r="A106" s="432"/>
      <c r="J106" s="431"/>
    </row>
    <row r="107" s="394" customFormat="1" ht="24" customHeight="1" spans="1:10">
      <c r="A107" s="432"/>
      <c r="I107" s="476"/>
      <c r="J107" s="431"/>
    </row>
    <row r="108" s="394" customFormat="1" ht="24" customHeight="1" spans="1:10">
      <c r="A108" s="432"/>
      <c r="J108" s="431"/>
    </row>
    <row r="109" s="394" customFormat="1" ht="24" customHeight="1" spans="1:10">
      <c r="A109" s="432"/>
      <c r="J109" s="431"/>
    </row>
    <row r="110" s="394" customFormat="1" spans="1:10">
      <c r="A110" s="432"/>
      <c r="J110" s="431"/>
    </row>
    <row r="111" s="394" customFormat="1" spans="1:10">
      <c r="A111" s="432"/>
      <c r="J111" s="431"/>
    </row>
    <row r="112" s="394" customFormat="1" spans="1:10">
      <c r="A112" s="432"/>
      <c r="J112" s="431"/>
    </row>
    <row r="113" s="394" customFormat="1" spans="1:10">
      <c r="A113" s="432"/>
      <c r="J113" s="431"/>
    </row>
    <row r="114" s="394" customFormat="1" spans="1:10">
      <c r="A114" s="432"/>
      <c r="J114" s="431"/>
    </row>
    <row r="115" s="394" customFormat="1" spans="1:10">
      <c r="A115" s="432"/>
      <c r="J115" s="431"/>
    </row>
    <row r="116" s="394" customFormat="1" spans="1:10">
      <c r="A116" s="432"/>
      <c r="J116" s="431"/>
    </row>
    <row r="117" s="394" customFormat="1" spans="1:10">
      <c r="A117" s="432"/>
      <c r="J117" s="431"/>
    </row>
    <row r="118" s="394" customFormat="1" spans="1:10">
      <c r="A118" s="432"/>
      <c r="J118" s="431"/>
    </row>
    <row r="119" s="394" customFormat="1" spans="1:10">
      <c r="A119" s="432"/>
      <c r="J119" s="431"/>
    </row>
    <row r="120" s="394" customFormat="1" spans="1:10">
      <c r="A120" s="432"/>
      <c r="J120" s="431"/>
    </row>
    <row r="121" s="394" customFormat="1" spans="1:10">
      <c r="A121" s="432"/>
      <c r="J121" s="431"/>
    </row>
    <row r="122" s="394" customFormat="1" spans="1:10">
      <c r="A122" s="432"/>
      <c r="J122" s="431"/>
    </row>
    <row r="123" s="394" customFormat="1" spans="1:10">
      <c r="A123" s="432"/>
      <c r="J123" s="431"/>
    </row>
    <row r="124" s="394" customFormat="1" spans="1:10">
      <c r="A124" s="432"/>
      <c r="J124" s="431"/>
    </row>
    <row r="125" s="394" customFormat="1" spans="1:10">
      <c r="A125" s="432"/>
      <c r="J125" s="431"/>
    </row>
    <row r="126" s="394" customFormat="1" spans="1:10">
      <c r="A126" s="432"/>
      <c r="J126" s="431"/>
    </row>
    <row r="127" s="394" customFormat="1" spans="1:10">
      <c r="A127" s="432"/>
      <c r="J127" s="431"/>
    </row>
    <row r="128" s="394" customFormat="1" spans="1:10">
      <c r="A128" s="432"/>
      <c r="J128" s="431"/>
    </row>
    <row r="129" s="394" customFormat="1" spans="1:10">
      <c r="A129" s="432"/>
      <c r="J129" s="431"/>
    </row>
    <row r="130" s="394" customFormat="1" spans="1:10">
      <c r="A130" s="432"/>
      <c r="J130" s="431"/>
    </row>
    <row r="131" s="394" customFormat="1" spans="1:10">
      <c r="A131" s="432"/>
      <c r="J131" s="431"/>
    </row>
    <row r="132" s="394" customFormat="1" spans="1:10">
      <c r="A132" s="432"/>
      <c r="J132" s="431"/>
    </row>
    <row r="133" s="394" customFormat="1" spans="1:10">
      <c r="A133" s="432"/>
      <c r="J133" s="431"/>
    </row>
    <row r="134" s="394" customFormat="1" spans="1:10">
      <c r="A134" s="432"/>
      <c r="J134" s="431"/>
    </row>
    <row r="135" s="394" customFormat="1" spans="1:10">
      <c r="A135" s="432"/>
      <c r="J135" s="431"/>
    </row>
    <row r="136" s="394" customFormat="1" spans="1:10">
      <c r="A136" s="432"/>
      <c r="J136" s="431"/>
    </row>
    <row r="137" s="394" customFormat="1" spans="1:10">
      <c r="A137" s="432"/>
      <c r="J137" s="431"/>
    </row>
    <row r="138" s="394" customFormat="1" spans="1:10">
      <c r="A138" s="432"/>
      <c r="J138" s="431"/>
    </row>
    <row r="139" s="394" customFormat="1" spans="1:10">
      <c r="A139" s="432"/>
      <c r="J139" s="431"/>
    </row>
    <row r="140" s="394" customFormat="1" spans="1:10">
      <c r="A140" s="432"/>
      <c r="J140" s="431"/>
    </row>
    <row r="141" s="394" customFormat="1" spans="1:10">
      <c r="A141" s="432"/>
      <c r="J141" s="431"/>
    </row>
    <row r="142" s="394" customFormat="1" spans="1:10">
      <c r="A142" s="432"/>
      <c r="J142" s="431"/>
    </row>
    <row r="143" s="394" customFormat="1" spans="1:10">
      <c r="A143" s="432"/>
      <c r="J143" s="431"/>
    </row>
    <row r="144" s="394" customFormat="1" spans="1:10">
      <c r="A144" s="432"/>
      <c r="J144" s="431"/>
    </row>
    <row r="145" s="394" customFormat="1" spans="1:10">
      <c r="A145" s="432"/>
      <c r="J145" s="431"/>
    </row>
    <row r="146" s="394" customFormat="1" spans="1:10">
      <c r="A146" s="432"/>
      <c r="J146" s="431"/>
    </row>
    <row r="147" s="394" customFormat="1" spans="1:10">
      <c r="A147" s="432"/>
      <c r="J147" s="431"/>
    </row>
    <row r="148" s="394" customFormat="1" spans="1:10">
      <c r="A148" s="432"/>
      <c r="J148" s="431"/>
    </row>
    <row r="149" s="394" customFormat="1" spans="1:10">
      <c r="A149" s="432"/>
      <c r="J149" s="431"/>
    </row>
    <row r="150" s="394" customFormat="1" spans="1:10">
      <c r="A150" s="432"/>
      <c r="J150" s="431"/>
    </row>
    <row r="151" s="394" customFormat="1" spans="1:10">
      <c r="A151" s="432"/>
      <c r="J151" s="431"/>
    </row>
    <row r="152" s="394" customFormat="1" spans="1:10">
      <c r="A152" s="432"/>
      <c r="J152" s="431"/>
    </row>
    <row r="153" s="394" customFormat="1" spans="1:10">
      <c r="A153" s="432"/>
      <c r="J153" s="431"/>
    </row>
    <row r="154" s="394" customFormat="1" spans="1:10">
      <c r="A154" s="432"/>
      <c r="J154" s="431"/>
    </row>
    <row r="155" s="394" customFormat="1" spans="1:10">
      <c r="A155" s="432"/>
      <c r="J155" s="431"/>
    </row>
    <row r="156" s="394" customFormat="1" spans="1:10">
      <c r="A156" s="432"/>
      <c r="J156" s="431"/>
    </row>
    <row r="157" s="394" customFormat="1" spans="1:10">
      <c r="A157" s="432"/>
      <c r="J157" s="431"/>
    </row>
    <row r="158" s="394" customFormat="1" spans="1:10">
      <c r="A158" s="432"/>
      <c r="J158" s="431"/>
    </row>
    <row r="159" s="394" customFormat="1" spans="1:10">
      <c r="A159" s="432"/>
      <c r="J159" s="431"/>
    </row>
    <row r="160" s="394" customFormat="1" spans="1:10">
      <c r="A160" s="432"/>
      <c r="J160" s="431"/>
    </row>
    <row r="161" s="394" customFormat="1" spans="1:10">
      <c r="A161" s="432"/>
      <c r="J161" s="431"/>
    </row>
    <row r="162" s="394" customFormat="1" spans="1:10">
      <c r="A162" s="432"/>
      <c r="J162" s="431"/>
    </row>
    <row r="163" s="394" customFormat="1" spans="1:10">
      <c r="A163" s="432"/>
      <c r="J163" s="431"/>
    </row>
    <row r="164" s="394" customFormat="1" spans="1:10">
      <c r="A164" s="432"/>
      <c r="J164" s="431"/>
    </row>
    <row r="165" s="394" customFormat="1" spans="1:10">
      <c r="A165" s="432"/>
      <c r="J165" s="431"/>
    </row>
    <row r="166" s="394" customFormat="1" spans="1:10">
      <c r="A166" s="432"/>
      <c r="J166" s="431"/>
    </row>
    <row r="167" s="394" customFormat="1" spans="1:10">
      <c r="A167" s="432"/>
      <c r="J167" s="431"/>
    </row>
    <row r="168" s="394" customFormat="1" spans="1:10">
      <c r="A168" s="432"/>
      <c r="J168" s="431"/>
    </row>
    <row r="169" s="394" customFormat="1" spans="1:10">
      <c r="A169" s="432"/>
      <c r="J169" s="431"/>
    </row>
    <row r="170" s="394" customFormat="1" spans="1:10">
      <c r="A170" s="477"/>
      <c r="J170" s="431"/>
    </row>
  </sheetData>
  <mergeCells count="13">
    <mergeCell ref="A2:K2"/>
    <mergeCell ref="J3:K3"/>
    <mergeCell ref="B4:H4"/>
    <mergeCell ref="I4:K4"/>
    <mergeCell ref="G5:H5"/>
    <mergeCell ref="J5:K5"/>
    <mergeCell ref="A4:A6"/>
    <mergeCell ref="B5:B6"/>
    <mergeCell ref="C5:C6"/>
    <mergeCell ref="D5:D6"/>
    <mergeCell ref="E5:E6"/>
    <mergeCell ref="F5:F6"/>
    <mergeCell ref="I5:I6"/>
  </mergeCells>
  <pageMargins left="0.357638888888889" right="0.357638888888889" top="0.409027777777778" bottom="0.60625" header="0.5" footer="0.5"/>
  <pageSetup paperSize="9" firstPageNumber="17" orientation="landscape" useFirstPageNumber="1" horizontalDpi="600"/>
  <headerFooter>
    <oddFooter>&amp;C第 &amp;P 页</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showZeros="0" workbookViewId="0">
      <selection activeCell="B5" sqref="B5:B6"/>
    </sheetView>
  </sheetViews>
  <sheetFormatPr defaultColWidth="9" defaultRowHeight="13.2"/>
  <cols>
    <col min="1" max="1" width="35.5" style="37" customWidth="1"/>
    <col min="2" max="2" width="11" style="37" customWidth="1"/>
    <col min="3" max="3" width="9.75" style="37" customWidth="1"/>
    <col min="4" max="5" width="11.3796296296296" style="37" customWidth="1"/>
    <col min="6" max="6" width="11.75" style="37" customWidth="1"/>
    <col min="7" max="7" width="9.62962962962963" style="37" hidden="1" customWidth="1"/>
    <col min="8" max="8" width="10.5" style="37" customWidth="1"/>
    <col min="9" max="9" width="9.25" style="37" customWidth="1"/>
    <col min="10" max="11" width="10.1296296296296" style="37" customWidth="1"/>
    <col min="12" max="12" width="10.25" style="37" customWidth="1"/>
    <col min="13" max="16384" width="9" style="37"/>
  </cols>
  <sheetData>
    <row r="1" ht="22" customHeight="1" spans="1:1">
      <c r="A1" s="39" t="s">
        <v>2057</v>
      </c>
    </row>
    <row r="2" s="36" customFormat="1" ht="23" customHeight="1" spans="1:12">
      <c r="A2" s="40" t="s">
        <v>2058</v>
      </c>
      <c r="B2" s="40"/>
      <c r="C2" s="40"/>
      <c r="D2" s="40"/>
      <c r="E2" s="40"/>
      <c r="F2" s="40"/>
      <c r="G2" s="40"/>
      <c r="H2" s="40"/>
      <c r="I2" s="40"/>
      <c r="J2" s="40"/>
      <c r="K2" s="40"/>
      <c r="L2" s="40"/>
    </row>
    <row r="3" s="37" customFormat="1" ht="18" customHeight="1" spans="1:11">
      <c r="A3" s="41"/>
      <c r="B3" s="41"/>
      <c r="C3" s="41"/>
      <c r="D3" s="41"/>
      <c r="E3" s="41"/>
      <c r="F3" s="41"/>
      <c r="G3" s="41"/>
      <c r="H3" s="41"/>
      <c r="I3" s="64"/>
      <c r="K3" s="65" t="s">
        <v>2</v>
      </c>
    </row>
    <row r="4" s="38" customFormat="1" ht="25.5" customHeight="1" spans="1:12">
      <c r="A4" s="42" t="s">
        <v>2035</v>
      </c>
      <c r="B4" s="43" t="s">
        <v>2036</v>
      </c>
      <c r="C4" s="44"/>
      <c r="D4" s="44"/>
      <c r="E4" s="44"/>
      <c r="F4" s="44"/>
      <c r="G4" s="44"/>
      <c r="H4" s="44"/>
      <c r="I4" s="44"/>
      <c r="J4" s="48" t="s">
        <v>5</v>
      </c>
      <c r="K4" s="48"/>
      <c r="L4" s="48"/>
    </row>
    <row r="5" s="38" customFormat="1" ht="31" customHeight="1" spans="1:12">
      <c r="A5" s="45"/>
      <c r="B5" s="46" t="s">
        <v>115</v>
      </c>
      <c r="C5" s="46" t="s">
        <v>2037</v>
      </c>
      <c r="D5" s="46" t="s">
        <v>2038</v>
      </c>
      <c r="E5" s="47" t="s">
        <v>1890</v>
      </c>
      <c r="F5" s="47" t="s">
        <v>2039</v>
      </c>
      <c r="G5" s="46" t="s">
        <v>2040</v>
      </c>
      <c r="H5" s="48" t="s">
        <v>119</v>
      </c>
      <c r="I5" s="43"/>
      <c r="J5" s="46" t="s">
        <v>12</v>
      </c>
      <c r="K5" s="48" t="s">
        <v>2041</v>
      </c>
      <c r="L5" s="48"/>
    </row>
    <row r="6" s="38" customFormat="1" ht="25.5" customHeight="1" spans="1:12">
      <c r="A6" s="45"/>
      <c r="B6" s="49"/>
      <c r="C6" s="49"/>
      <c r="D6" s="49"/>
      <c r="E6" s="50"/>
      <c r="F6" s="50"/>
      <c r="G6" s="49"/>
      <c r="H6" s="51" t="s">
        <v>14</v>
      </c>
      <c r="I6" s="66" t="s">
        <v>1856</v>
      </c>
      <c r="J6" s="49"/>
      <c r="K6" s="51" t="s">
        <v>14</v>
      </c>
      <c r="L6" s="66" t="s">
        <v>1856</v>
      </c>
    </row>
    <row r="7" s="37" customFormat="1" ht="23" customHeight="1" spans="1:12">
      <c r="A7" s="52" t="s">
        <v>2059</v>
      </c>
      <c r="B7" s="53">
        <f t="shared" ref="B7:G7" si="0">SUM(B12:B16)</f>
        <v>6704</v>
      </c>
      <c r="C7" s="53">
        <f t="shared" si="0"/>
        <v>6704</v>
      </c>
      <c r="D7" s="53">
        <f t="shared" si="0"/>
        <v>6836</v>
      </c>
      <c r="E7" s="54">
        <f t="shared" ref="E7:E25" si="1">D7/B7</f>
        <v>1.01968973747017</v>
      </c>
      <c r="F7" s="54">
        <f t="shared" ref="F7:F25" si="2">D7/C7</f>
        <v>1.01968973747017</v>
      </c>
      <c r="G7" s="55">
        <f t="shared" si="0"/>
        <v>0</v>
      </c>
      <c r="H7" s="53">
        <f>6836-6704</f>
        <v>132</v>
      </c>
      <c r="I7" s="54">
        <v>0.0197</v>
      </c>
      <c r="J7" s="53">
        <f>SUM(J12:J16)</f>
        <v>7190</v>
      </c>
      <c r="K7" s="53">
        <f>SUM(K12:K16)</f>
        <v>354</v>
      </c>
      <c r="L7" s="54">
        <f t="shared" ref="L7:L25" si="3">K7/D7</f>
        <v>0.0517846693973084</v>
      </c>
    </row>
    <row r="8" s="37" customFormat="1" ht="1" hidden="1" customHeight="1" spans="1:12">
      <c r="A8" s="52" t="s">
        <v>2060</v>
      </c>
      <c r="B8" s="53"/>
      <c r="C8" s="53"/>
      <c r="D8" s="53"/>
      <c r="E8" s="54"/>
      <c r="F8" s="54"/>
      <c r="G8" s="55"/>
      <c r="H8" s="56">
        <v>0</v>
      </c>
      <c r="I8" s="67"/>
      <c r="J8" s="53"/>
      <c r="K8" s="53">
        <v>0</v>
      </c>
      <c r="L8" s="54"/>
    </row>
    <row r="9" s="37" customFormat="1" ht="20" hidden="1" customHeight="1" spans="1:12">
      <c r="A9" s="52" t="s">
        <v>2061</v>
      </c>
      <c r="B9" s="53"/>
      <c r="C9" s="53"/>
      <c r="D9" s="53"/>
      <c r="E9" s="54"/>
      <c r="F9" s="54"/>
      <c r="G9" s="55"/>
      <c r="H9" s="56">
        <v>0</v>
      </c>
      <c r="I9" s="67"/>
      <c r="J9" s="53"/>
      <c r="K9" s="53">
        <v>0</v>
      </c>
      <c r="L9" s="54"/>
    </row>
    <row r="10" s="37" customFormat="1" ht="20" hidden="1" customHeight="1" spans="1:12">
      <c r="A10" s="52" t="s">
        <v>2062</v>
      </c>
      <c r="B10" s="53"/>
      <c r="C10" s="53"/>
      <c r="D10" s="53"/>
      <c r="E10" s="54"/>
      <c r="F10" s="54"/>
      <c r="G10" s="55"/>
      <c r="H10" s="56">
        <v>0</v>
      </c>
      <c r="I10" s="67"/>
      <c r="J10" s="53"/>
      <c r="K10" s="53">
        <v>0</v>
      </c>
      <c r="L10" s="54"/>
    </row>
    <row r="11" s="37" customFormat="1" ht="20" hidden="1" customHeight="1" spans="1:12">
      <c r="A11" s="52" t="s">
        <v>2063</v>
      </c>
      <c r="B11" s="53"/>
      <c r="C11" s="53"/>
      <c r="D11" s="53"/>
      <c r="E11" s="54"/>
      <c r="F11" s="54"/>
      <c r="G11" s="55"/>
      <c r="H11" s="56">
        <v>0</v>
      </c>
      <c r="I11" s="67"/>
      <c r="J11" s="53"/>
      <c r="K11" s="53">
        <v>0</v>
      </c>
      <c r="L11" s="54"/>
    </row>
    <row r="12" s="37" customFormat="1" ht="20" customHeight="1" spans="1:12">
      <c r="A12" s="52" t="s">
        <v>2064</v>
      </c>
      <c r="B12" s="53">
        <v>6439</v>
      </c>
      <c r="C12" s="53">
        <v>6439</v>
      </c>
      <c r="D12" s="53">
        <v>6562</v>
      </c>
      <c r="E12" s="54">
        <f t="shared" si="1"/>
        <v>1.01910234508464</v>
      </c>
      <c r="F12" s="54">
        <f t="shared" si="2"/>
        <v>1.01910234508464</v>
      </c>
      <c r="G12" s="55"/>
      <c r="H12" s="56">
        <f>6562-6458</f>
        <v>104</v>
      </c>
      <c r="I12" s="67">
        <v>0.0161</v>
      </c>
      <c r="J12" s="53">
        <v>6904</v>
      </c>
      <c r="K12" s="53">
        <f t="shared" ref="K12:K24" si="4">J12-D12</f>
        <v>342</v>
      </c>
      <c r="L12" s="54">
        <f t="shared" si="3"/>
        <v>0.0521182566290765</v>
      </c>
    </row>
    <row r="13" s="37" customFormat="1" ht="20" customHeight="1" spans="1:12">
      <c r="A13" s="52" t="s">
        <v>2065</v>
      </c>
      <c r="B13" s="53">
        <v>212</v>
      </c>
      <c r="C13" s="53">
        <v>212</v>
      </c>
      <c r="D13" s="53">
        <v>199</v>
      </c>
      <c r="E13" s="54">
        <f t="shared" si="1"/>
        <v>0.938679245283019</v>
      </c>
      <c r="F13" s="54">
        <f t="shared" si="2"/>
        <v>0.938679245283019</v>
      </c>
      <c r="G13" s="55"/>
      <c r="H13" s="56">
        <f>199-198</f>
        <v>1</v>
      </c>
      <c r="I13" s="67">
        <v>0.0051</v>
      </c>
      <c r="J13" s="53">
        <v>208</v>
      </c>
      <c r="K13" s="53">
        <f t="shared" si="4"/>
        <v>9</v>
      </c>
      <c r="L13" s="54">
        <f t="shared" si="3"/>
        <v>0.0452261306532663</v>
      </c>
    </row>
    <row r="14" s="37" customFormat="1" ht="20" customHeight="1" spans="1:12">
      <c r="A14" s="52" t="s">
        <v>2066</v>
      </c>
      <c r="B14" s="53">
        <v>52</v>
      </c>
      <c r="C14" s="53">
        <v>52</v>
      </c>
      <c r="D14" s="53">
        <v>72</v>
      </c>
      <c r="E14" s="54">
        <f t="shared" si="1"/>
        <v>1.38461538461538</v>
      </c>
      <c r="F14" s="54">
        <f t="shared" si="2"/>
        <v>1.38461538461538</v>
      </c>
      <c r="G14" s="55"/>
      <c r="H14" s="56">
        <f>72-42</f>
        <v>30</v>
      </c>
      <c r="I14" s="67">
        <v>0.7143</v>
      </c>
      <c r="J14" s="53">
        <v>75</v>
      </c>
      <c r="K14" s="53">
        <f t="shared" si="4"/>
        <v>3</v>
      </c>
      <c r="L14" s="54">
        <f t="shared" si="3"/>
        <v>0.0416666666666667</v>
      </c>
    </row>
    <row r="15" s="37" customFormat="1" ht="20" customHeight="1" spans="1:12">
      <c r="A15" s="52" t="s">
        <v>2067</v>
      </c>
      <c r="B15" s="53"/>
      <c r="C15" s="53"/>
      <c r="D15" s="53"/>
      <c r="E15" s="54"/>
      <c r="F15" s="54"/>
      <c r="G15" s="55"/>
      <c r="H15" s="56">
        <f>0-1</f>
        <v>-1</v>
      </c>
      <c r="I15" s="67">
        <v>-1</v>
      </c>
      <c r="J15" s="53"/>
      <c r="K15" s="53">
        <f t="shared" si="4"/>
        <v>0</v>
      </c>
      <c r="L15" s="54"/>
    </row>
    <row r="16" s="37" customFormat="1" ht="20" customHeight="1" spans="1:12">
      <c r="A16" s="52" t="s">
        <v>2068</v>
      </c>
      <c r="B16" s="53">
        <v>1</v>
      </c>
      <c r="C16" s="53">
        <v>1</v>
      </c>
      <c r="D16" s="53">
        <v>3</v>
      </c>
      <c r="E16" s="54">
        <f t="shared" si="1"/>
        <v>3</v>
      </c>
      <c r="F16" s="54">
        <f t="shared" si="2"/>
        <v>3</v>
      </c>
      <c r="G16" s="55"/>
      <c r="H16" s="56">
        <f>3-5</f>
        <v>-2</v>
      </c>
      <c r="I16" s="67">
        <v>-0.4</v>
      </c>
      <c r="J16" s="53">
        <v>3</v>
      </c>
      <c r="K16" s="53">
        <f t="shared" si="4"/>
        <v>0</v>
      </c>
      <c r="L16" s="54">
        <f t="shared" si="3"/>
        <v>0</v>
      </c>
    </row>
    <row r="17" s="37" customFormat="1" ht="20" customHeight="1" spans="1:12">
      <c r="A17" s="52" t="s">
        <v>2069</v>
      </c>
      <c r="B17" s="53">
        <f t="shared" ref="B17:G17" si="5">SUM(B18:B19)</f>
        <v>19609</v>
      </c>
      <c r="C17" s="53">
        <f t="shared" si="5"/>
        <v>19609</v>
      </c>
      <c r="D17" s="53">
        <f t="shared" si="5"/>
        <v>20111</v>
      </c>
      <c r="E17" s="54">
        <f t="shared" si="1"/>
        <v>1.02560048957112</v>
      </c>
      <c r="F17" s="54">
        <f t="shared" si="2"/>
        <v>1.02560048957112</v>
      </c>
      <c r="G17" s="55">
        <f t="shared" si="5"/>
        <v>0</v>
      </c>
      <c r="H17" s="53">
        <f>20111-18829</f>
        <v>1282</v>
      </c>
      <c r="I17" s="54">
        <v>0.0681</v>
      </c>
      <c r="J17" s="53">
        <f>SUM(J18:J19)</f>
        <v>21295</v>
      </c>
      <c r="K17" s="53">
        <f t="shared" si="4"/>
        <v>1184</v>
      </c>
      <c r="L17" s="54">
        <f t="shared" si="3"/>
        <v>0.0588732534433892</v>
      </c>
    </row>
    <row r="18" s="37" customFormat="1" ht="20" customHeight="1" spans="1:12">
      <c r="A18" s="52" t="s">
        <v>2070</v>
      </c>
      <c r="B18" s="53">
        <v>19584</v>
      </c>
      <c r="C18" s="53">
        <v>19584</v>
      </c>
      <c r="D18" s="53">
        <v>20105</v>
      </c>
      <c r="E18" s="54">
        <f t="shared" si="1"/>
        <v>1.0266033496732</v>
      </c>
      <c r="F18" s="54">
        <f t="shared" si="2"/>
        <v>1.0266033496732</v>
      </c>
      <c r="G18" s="55"/>
      <c r="H18" s="56">
        <f>20105-18794</f>
        <v>1311</v>
      </c>
      <c r="I18" s="67">
        <v>0.0698</v>
      </c>
      <c r="J18" s="53">
        <v>21293</v>
      </c>
      <c r="K18" s="53">
        <f t="shared" si="4"/>
        <v>1188</v>
      </c>
      <c r="L18" s="54">
        <f t="shared" si="3"/>
        <v>0.0590897786620244</v>
      </c>
    </row>
    <row r="19" s="37" customFormat="1" ht="20" customHeight="1" spans="1:12">
      <c r="A19" s="52" t="s">
        <v>2068</v>
      </c>
      <c r="B19" s="53">
        <v>25</v>
      </c>
      <c r="C19" s="53">
        <v>25</v>
      </c>
      <c r="D19" s="53">
        <v>6</v>
      </c>
      <c r="E19" s="54">
        <f t="shared" si="1"/>
        <v>0.24</v>
      </c>
      <c r="F19" s="54">
        <f t="shared" si="2"/>
        <v>0.24</v>
      </c>
      <c r="G19" s="55"/>
      <c r="H19" s="56">
        <f>6-35</f>
        <v>-29</v>
      </c>
      <c r="I19" s="67">
        <v>-0.8286</v>
      </c>
      <c r="J19" s="53">
        <v>2</v>
      </c>
      <c r="K19" s="53">
        <f t="shared" si="4"/>
        <v>-4</v>
      </c>
      <c r="L19" s="54">
        <f t="shared" si="3"/>
        <v>-0.666666666666667</v>
      </c>
    </row>
    <row r="20" s="37" customFormat="1" ht="20" customHeight="1" spans="1:12">
      <c r="A20" s="57" t="s">
        <v>2071</v>
      </c>
      <c r="B20" s="58">
        <f>SUM(B7,B17)</f>
        <v>26313</v>
      </c>
      <c r="C20" s="58">
        <f>SUM(C7,C17)</f>
        <v>26313</v>
      </c>
      <c r="D20" s="58">
        <f>SUM(D7,D17)</f>
        <v>26947</v>
      </c>
      <c r="E20" s="54">
        <f t="shared" si="1"/>
        <v>1.02409455402273</v>
      </c>
      <c r="F20" s="54">
        <f t="shared" si="2"/>
        <v>1.02409455402273</v>
      </c>
      <c r="G20" s="59" t="e">
        <f>SUM(G7,G17,#REF!)</f>
        <v>#REF!</v>
      </c>
      <c r="H20" s="60">
        <f>26947-25533</f>
        <v>1414</v>
      </c>
      <c r="I20" s="68">
        <v>0.0554</v>
      </c>
      <c r="J20" s="60">
        <f>SUM(J7,J17)</f>
        <v>28485</v>
      </c>
      <c r="K20" s="53">
        <f t="shared" si="4"/>
        <v>1538</v>
      </c>
      <c r="L20" s="54">
        <f t="shared" si="3"/>
        <v>0.0570749990722529</v>
      </c>
    </row>
    <row r="21" s="37" customFormat="1" ht="20" customHeight="1" spans="1:12">
      <c r="A21" s="61" t="s">
        <v>153</v>
      </c>
      <c r="B21" s="60">
        <f t="shared" ref="B21:G21" si="6">SUM(B22)</f>
        <v>18392</v>
      </c>
      <c r="C21" s="60">
        <f t="shared" si="6"/>
        <v>18392</v>
      </c>
      <c r="D21" s="60">
        <f t="shared" si="6"/>
        <v>18602</v>
      </c>
      <c r="E21" s="54">
        <f t="shared" si="1"/>
        <v>1.01141800782949</v>
      </c>
      <c r="F21" s="54">
        <f t="shared" si="2"/>
        <v>1.01141800782949</v>
      </c>
      <c r="G21" s="62">
        <f t="shared" si="6"/>
        <v>0</v>
      </c>
      <c r="H21" s="60">
        <f>18602-16174</f>
        <v>2428</v>
      </c>
      <c r="I21" s="69">
        <v>0.1501</v>
      </c>
      <c r="J21" s="60">
        <f>SUM(J22)</f>
        <v>21533</v>
      </c>
      <c r="K21" s="53">
        <f t="shared" si="4"/>
        <v>2931</v>
      </c>
      <c r="L21" s="54">
        <f t="shared" si="3"/>
        <v>0.157563702827653</v>
      </c>
    </row>
    <row r="22" s="37" customFormat="1" ht="20" customHeight="1" spans="1:12">
      <c r="A22" s="63" t="s">
        <v>1979</v>
      </c>
      <c r="B22" s="60">
        <f t="shared" ref="B22:G22" si="7">SUM(B23:B24)</f>
        <v>18392</v>
      </c>
      <c r="C22" s="60">
        <f t="shared" si="7"/>
        <v>18392</v>
      </c>
      <c r="D22" s="60">
        <f t="shared" si="7"/>
        <v>18602</v>
      </c>
      <c r="E22" s="54">
        <f t="shared" si="1"/>
        <v>1.01141800782949</v>
      </c>
      <c r="F22" s="54">
        <f t="shared" si="2"/>
        <v>1.01141800782949</v>
      </c>
      <c r="G22" s="62">
        <f t="shared" si="7"/>
        <v>0</v>
      </c>
      <c r="H22" s="60">
        <f>18602-16174</f>
        <v>2428</v>
      </c>
      <c r="I22" s="69">
        <v>0.1501</v>
      </c>
      <c r="J22" s="60">
        <f>SUM(J23:J24)</f>
        <v>21533</v>
      </c>
      <c r="K22" s="53">
        <f t="shared" si="4"/>
        <v>2931</v>
      </c>
      <c r="L22" s="54">
        <f t="shared" si="3"/>
        <v>0.157563702827653</v>
      </c>
    </row>
    <row r="23" s="37" customFormat="1" ht="30" customHeight="1" spans="1:12">
      <c r="A23" s="52" t="s">
        <v>2054</v>
      </c>
      <c r="B23" s="60">
        <v>18391</v>
      </c>
      <c r="C23" s="60">
        <v>18391</v>
      </c>
      <c r="D23" s="60">
        <v>18466</v>
      </c>
      <c r="E23" s="54">
        <f t="shared" si="1"/>
        <v>1.00407808167038</v>
      </c>
      <c r="F23" s="54">
        <f t="shared" si="2"/>
        <v>1.00407808167038</v>
      </c>
      <c r="G23" s="62"/>
      <c r="H23" s="56">
        <f>18466-15174</f>
        <v>3292</v>
      </c>
      <c r="I23" s="67">
        <v>0.217</v>
      </c>
      <c r="J23" s="60">
        <v>21533</v>
      </c>
      <c r="K23" s="53">
        <f t="shared" si="4"/>
        <v>3067</v>
      </c>
      <c r="L23" s="54">
        <f t="shared" si="3"/>
        <v>0.166089028484783</v>
      </c>
    </row>
    <row r="24" s="37" customFormat="1" ht="29" customHeight="1" spans="1:12">
      <c r="A24" s="52" t="s">
        <v>2055</v>
      </c>
      <c r="B24" s="60">
        <v>1</v>
      </c>
      <c r="C24" s="60">
        <v>1</v>
      </c>
      <c r="D24" s="60">
        <v>136</v>
      </c>
      <c r="E24" s="54">
        <f t="shared" si="1"/>
        <v>136</v>
      </c>
      <c r="F24" s="54">
        <f t="shared" si="2"/>
        <v>136</v>
      </c>
      <c r="G24" s="62"/>
      <c r="H24" s="56">
        <f>136-1000</f>
        <v>-864</v>
      </c>
      <c r="I24" s="67">
        <v>-0.864</v>
      </c>
      <c r="J24" s="60">
        <v>0</v>
      </c>
      <c r="K24" s="53">
        <f t="shared" si="4"/>
        <v>-136</v>
      </c>
      <c r="L24" s="54">
        <f t="shared" si="3"/>
        <v>-1</v>
      </c>
    </row>
    <row r="25" s="37" customFormat="1" ht="20" customHeight="1" spans="1:12">
      <c r="A25" s="57" t="s">
        <v>162</v>
      </c>
      <c r="B25" s="60">
        <f t="shared" ref="B25:H25" si="8">SUM(B20:B21)</f>
        <v>44705</v>
      </c>
      <c r="C25" s="60">
        <f t="shared" si="8"/>
        <v>44705</v>
      </c>
      <c r="D25" s="60">
        <f t="shared" si="8"/>
        <v>45549</v>
      </c>
      <c r="E25" s="54">
        <f t="shared" si="1"/>
        <v>1.01887931998658</v>
      </c>
      <c r="F25" s="54">
        <f t="shared" si="2"/>
        <v>1.01887931998658</v>
      </c>
      <c r="G25" s="62" t="e">
        <f t="shared" si="8"/>
        <v>#REF!</v>
      </c>
      <c r="H25" s="60">
        <f t="shared" si="8"/>
        <v>3842</v>
      </c>
      <c r="I25" s="69">
        <v>0.0921</v>
      </c>
      <c r="J25" s="60">
        <f>SUM(J20:J21)</f>
        <v>50018</v>
      </c>
      <c r="K25" s="60">
        <f>SUM(K20:K21)</f>
        <v>4469</v>
      </c>
      <c r="L25" s="54">
        <f t="shared" si="3"/>
        <v>0.0981141188610068</v>
      </c>
    </row>
  </sheetData>
  <mergeCells count="13">
    <mergeCell ref="A2:L2"/>
    <mergeCell ref="B4:I4"/>
    <mergeCell ref="J4:L4"/>
    <mergeCell ref="H5:I5"/>
    <mergeCell ref="K5:L5"/>
    <mergeCell ref="A4:A6"/>
    <mergeCell ref="B5:B6"/>
    <mergeCell ref="C5:C6"/>
    <mergeCell ref="D5:D6"/>
    <mergeCell ref="E5:E6"/>
    <mergeCell ref="F5:F6"/>
    <mergeCell ref="G5:G6"/>
    <mergeCell ref="J5:J6"/>
  </mergeCells>
  <pageMargins left="0.357638888888889" right="0.357638888888889" top="0.2125" bottom="0.409027777777778" header="0.5" footer="0.5"/>
  <pageSetup paperSize="9" firstPageNumber="119" orientation="landscape" useFirstPageNumber="1" horizontalDpi="600"/>
  <headerFooter>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2"/>
  <sheetViews>
    <sheetView workbookViewId="0">
      <selection activeCell="B5" sqref="B5:B6"/>
    </sheetView>
  </sheetViews>
  <sheetFormatPr defaultColWidth="7.99074074074074" defaultRowHeight="15.6" outlineLevelCol="2"/>
  <cols>
    <col min="1" max="1" width="22.75" style="1" customWidth="1"/>
    <col min="2" max="2" width="56.3796296296296" style="1" customWidth="1"/>
    <col min="3" max="3" width="34.5" style="4" customWidth="1"/>
    <col min="4" max="228" width="7.99074074074074" style="1"/>
    <col min="229" max="16384" width="7.99074074074074" style="22"/>
  </cols>
  <sheetData>
    <row r="1" s="1" customFormat="1" ht="27" customHeight="1" spans="1:3">
      <c r="A1" s="23" t="s">
        <v>2072</v>
      </c>
      <c r="B1" s="23"/>
      <c r="C1" s="24"/>
    </row>
    <row r="2" s="1" customFormat="1" ht="37" customHeight="1" spans="1:3">
      <c r="A2" s="7" t="s">
        <v>2073</v>
      </c>
      <c r="B2" s="7"/>
      <c r="C2" s="7"/>
    </row>
    <row r="3" s="1" customFormat="1" ht="19" customHeight="1" spans="1:3">
      <c r="A3" s="25" t="s">
        <v>2</v>
      </c>
      <c r="B3" s="25"/>
      <c r="C3" s="26"/>
    </row>
    <row r="4" s="3" customFormat="1" ht="16.9" customHeight="1" spans="1:3">
      <c r="A4" s="11" t="s">
        <v>278</v>
      </c>
      <c r="B4" s="11" t="s">
        <v>2035</v>
      </c>
      <c r="C4" s="11" t="s">
        <v>2074</v>
      </c>
    </row>
    <row r="5" s="20" customFormat="1" ht="22" customHeight="1" spans="1:3">
      <c r="A5" s="27" t="s">
        <v>2075</v>
      </c>
      <c r="B5" s="27" t="s">
        <v>2076</v>
      </c>
      <c r="C5" s="28">
        <f>SUM(C6:C6)</f>
        <v>36</v>
      </c>
    </row>
    <row r="6" s="21" customFormat="1" ht="22" customHeight="1" spans="1:3">
      <c r="A6" s="29" t="s">
        <v>2077</v>
      </c>
      <c r="B6" s="29" t="s">
        <v>2078</v>
      </c>
      <c r="C6" s="30">
        <v>36</v>
      </c>
    </row>
    <row r="7" s="20" customFormat="1" ht="22" customHeight="1" spans="1:3">
      <c r="A7" s="31" t="s">
        <v>2079</v>
      </c>
      <c r="B7" s="31" t="s">
        <v>2080</v>
      </c>
      <c r="C7" s="32">
        <f>SUM(C8:C9)</f>
        <v>0</v>
      </c>
    </row>
    <row r="8" s="21" customFormat="1" ht="22" customHeight="1" spans="1:3">
      <c r="A8" s="33" t="s">
        <v>2081</v>
      </c>
      <c r="B8" s="33" t="s">
        <v>2082</v>
      </c>
      <c r="C8" s="34"/>
    </row>
    <row r="9" s="21" customFormat="1" ht="22" customHeight="1" spans="1:3">
      <c r="A9" s="33" t="s">
        <v>2083</v>
      </c>
      <c r="B9" s="33" t="s">
        <v>2084</v>
      </c>
      <c r="C9" s="34"/>
    </row>
    <row r="10" s="20" customFormat="1" ht="22" customHeight="1" spans="1:3">
      <c r="A10" s="31" t="s">
        <v>2085</v>
      </c>
      <c r="B10" s="31" t="s">
        <v>2086</v>
      </c>
      <c r="C10" s="32">
        <f>SUM(C11:C12)</f>
        <v>0</v>
      </c>
    </row>
    <row r="11" s="21" customFormat="1" ht="22" customHeight="1" spans="1:3">
      <c r="A11" s="33" t="s">
        <v>2087</v>
      </c>
      <c r="B11" s="33" t="s">
        <v>2088</v>
      </c>
      <c r="C11" s="34"/>
    </row>
    <row r="12" s="21" customFormat="1" ht="22" customHeight="1" spans="1:3">
      <c r="A12" s="33" t="s">
        <v>2089</v>
      </c>
      <c r="B12" s="33" t="s">
        <v>2090</v>
      </c>
      <c r="C12" s="34"/>
    </row>
    <row r="13" s="20" customFormat="1" ht="22" customHeight="1" spans="1:3">
      <c r="A13" s="31" t="s">
        <v>2091</v>
      </c>
      <c r="B13" s="31" t="s">
        <v>2092</v>
      </c>
      <c r="C13" s="32">
        <f>SUM(C14:C16)</f>
        <v>0</v>
      </c>
    </row>
    <row r="14" s="21" customFormat="1" ht="22" customHeight="1" spans="1:3">
      <c r="A14" s="33" t="s">
        <v>2093</v>
      </c>
      <c r="B14" s="33" t="s">
        <v>2094</v>
      </c>
      <c r="C14" s="34"/>
    </row>
    <row r="15" s="21" customFormat="1" ht="22" customHeight="1" spans="1:3">
      <c r="A15" s="33" t="s">
        <v>2095</v>
      </c>
      <c r="B15" s="33" t="s">
        <v>2096</v>
      </c>
      <c r="C15" s="34"/>
    </row>
    <row r="16" s="21" customFormat="1" ht="22" customHeight="1" spans="1:3">
      <c r="A16" s="33" t="s">
        <v>2097</v>
      </c>
      <c r="B16" s="33" t="s">
        <v>2098</v>
      </c>
      <c r="C16" s="34"/>
    </row>
    <row r="17" s="20" customFormat="1" ht="22" customHeight="1" spans="1:3">
      <c r="A17" s="27" t="s">
        <v>2099</v>
      </c>
      <c r="B17" s="27" t="s">
        <v>2100</v>
      </c>
      <c r="C17" s="28"/>
    </row>
    <row r="18" s="20" customFormat="1" ht="22" customHeight="1" spans="1:3">
      <c r="A18" s="31" t="s">
        <v>2101</v>
      </c>
      <c r="B18" s="31" t="s">
        <v>2102</v>
      </c>
      <c r="C18" s="32">
        <f>C5+C7+C10+C13</f>
        <v>36</v>
      </c>
    </row>
    <row r="19" s="20" customFormat="1" ht="22" customHeight="1" spans="1:3">
      <c r="A19" s="31"/>
      <c r="B19" s="31" t="s">
        <v>1878</v>
      </c>
      <c r="C19" s="32">
        <f>SUM(C20:C21)</f>
        <v>0</v>
      </c>
    </row>
    <row r="20" s="21" customFormat="1" ht="22" customHeight="1" spans="1:3">
      <c r="A20" s="33"/>
      <c r="B20" s="33" t="s">
        <v>2103</v>
      </c>
      <c r="C20" s="34"/>
    </row>
    <row r="21" s="21" customFormat="1" ht="22" customHeight="1" spans="1:3">
      <c r="A21" s="33"/>
      <c r="B21" s="33" t="s">
        <v>1882</v>
      </c>
      <c r="C21" s="34"/>
    </row>
    <row r="22" s="20" customFormat="1" ht="22" customHeight="1" spans="1:3">
      <c r="A22" s="31"/>
      <c r="B22" s="35" t="s">
        <v>112</v>
      </c>
      <c r="C22" s="32">
        <f>C18+C19</f>
        <v>36</v>
      </c>
    </row>
  </sheetData>
  <mergeCells count="3">
    <mergeCell ref="A1:C1"/>
    <mergeCell ref="A2:C2"/>
    <mergeCell ref="A3:C3"/>
  </mergeCells>
  <pageMargins left="1.29861111111111" right="0.751388888888889" top="0.409027777777778" bottom="0.60625" header="0.5" footer="0.5"/>
  <pageSetup paperSize="9" firstPageNumber="120" orientation="landscape" useFirstPageNumber="1" horizontalDpi="600"/>
  <headerFooter>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workbookViewId="0">
      <selection activeCell="B5" sqref="B5:B6"/>
    </sheetView>
  </sheetViews>
  <sheetFormatPr defaultColWidth="7.99074074074074" defaultRowHeight="13.2" outlineLevelCol="2"/>
  <cols>
    <col min="1" max="1" width="20" style="1" customWidth="1"/>
    <col min="2" max="2" width="54.8796296296296" style="1" customWidth="1"/>
    <col min="3" max="3" width="32.25" style="4" customWidth="1"/>
    <col min="4" max="16384" width="7.99074074074074" style="1"/>
  </cols>
  <sheetData>
    <row r="1" s="1" customFormat="1" ht="18" customHeight="1" spans="1:3">
      <c r="A1" s="5" t="s">
        <v>2104</v>
      </c>
      <c r="B1" s="5"/>
      <c r="C1" s="6"/>
    </row>
    <row r="2" s="1" customFormat="1" ht="33" customHeight="1" spans="1:3">
      <c r="A2" s="7" t="s">
        <v>2105</v>
      </c>
      <c r="B2" s="8"/>
      <c r="C2" s="8"/>
    </row>
    <row r="3" s="2" customFormat="1" ht="35" customHeight="1" spans="1:3">
      <c r="A3" s="9" t="s">
        <v>2</v>
      </c>
      <c r="B3" s="9"/>
      <c r="C3" s="10"/>
    </row>
    <row r="4" s="3" customFormat="1" ht="17.65" customHeight="1" spans="1:3">
      <c r="A4" s="11" t="s">
        <v>278</v>
      </c>
      <c r="B4" s="11" t="s">
        <v>3</v>
      </c>
      <c r="C4" s="11" t="s">
        <v>2074</v>
      </c>
    </row>
    <row r="5" s="3" customFormat="1" ht="25" customHeight="1" spans="1:3">
      <c r="A5" s="12" t="s">
        <v>1597</v>
      </c>
      <c r="B5" s="12" t="s">
        <v>2106</v>
      </c>
      <c r="C5" s="13">
        <f>C6+C7+C8+C9+C10</f>
        <v>36</v>
      </c>
    </row>
    <row r="6" s="1" customFormat="1" ht="25" customHeight="1" spans="1:3">
      <c r="A6" s="14">
        <v>22301</v>
      </c>
      <c r="B6" s="15" t="s">
        <v>1600</v>
      </c>
      <c r="C6" s="16"/>
    </row>
    <row r="7" s="1" customFormat="1" ht="25" customHeight="1" spans="1:3">
      <c r="A7" s="15" t="s">
        <v>2107</v>
      </c>
      <c r="B7" s="15" t="s">
        <v>2108</v>
      </c>
      <c r="C7" s="16"/>
    </row>
    <row r="8" s="1" customFormat="1" ht="25" customHeight="1" spans="1:3">
      <c r="A8" s="15" t="s">
        <v>2109</v>
      </c>
      <c r="B8" s="15" t="s">
        <v>2110</v>
      </c>
      <c r="C8" s="16"/>
    </row>
    <row r="9" s="1" customFormat="1" ht="25" customHeight="1" spans="1:3">
      <c r="A9" s="15" t="s">
        <v>2111</v>
      </c>
      <c r="B9" s="15" t="s">
        <v>2112</v>
      </c>
      <c r="C9" s="16"/>
    </row>
    <row r="10" s="1" customFormat="1" ht="25" customHeight="1" spans="1:3">
      <c r="A10" s="15" t="s">
        <v>2113</v>
      </c>
      <c r="B10" s="15" t="s">
        <v>2114</v>
      </c>
      <c r="C10" s="16">
        <v>36</v>
      </c>
    </row>
    <row r="11" s="1" customFormat="1" ht="25" customHeight="1" spans="1:3">
      <c r="A11" s="15"/>
      <c r="B11" s="17" t="s">
        <v>2115</v>
      </c>
      <c r="C11" s="16"/>
    </row>
    <row r="12" s="3" customFormat="1" ht="25" customHeight="1" spans="1:3">
      <c r="A12" s="12"/>
      <c r="B12" s="12" t="s">
        <v>2116</v>
      </c>
      <c r="C12" s="13">
        <f>C5+C11</f>
        <v>36</v>
      </c>
    </row>
    <row r="13" s="3" customFormat="1" ht="25" customHeight="1" spans="1:3">
      <c r="A13" s="12"/>
      <c r="B13" s="12" t="s">
        <v>153</v>
      </c>
      <c r="C13" s="13">
        <f>SUM(C14:C16)</f>
        <v>0</v>
      </c>
    </row>
    <row r="14" s="1" customFormat="1" ht="25" customHeight="1" spans="1:3">
      <c r="A14" s="18"/>
      <c r="B14" s="18" t="s">
        <v>2117</v>
      </c>
      <c r="C14" s="19"/>
    </row>
    <row r="15" s="1" customFormat="1" ht="25" customHeight="1" spans="1:3">
      <c r="A15" s="18" t="s">
        <v>2118</v>
      </c>
      <c r="B15" s="18" t="s">
        <v>1978</v>
      </c>
      <c r="C15" s="19"/>
    </row>
    <row r="16" s="1" customFormat="1" ht="25" customHeight="1" spans="1:3">
      <c r="A16" s="18"/>
      <c r="B16" s="18" t="s">
        <v>1979</v>
      </c>
      <c r="C16" s="19"/>
    </row>
    <row r="17" s="3" customFormat="1" ht="25" customHeight="1" spans="1:3">
      <c r="A17" s="12"/>
      <c r="B17" s="11" t="s">
        <v>162</v>
      </c>
      <c r="C17" s="13">
        <f>C12+C13</f>
        <v>36</v>
      </c>
    </row>
  </sheetData>
  <mergeCells count="3">
    <mergeCell ref="A1:C1"/>
    <mergeCell ref="A2:C2"/>
    <mergeCell ref="A3:C3"/>
  </mergeCells>
  <pageMargins left="1.69236111111111" right="0.751388888888889" top="1" bottom="1" header="0.5" footer="0.5"/>
  <pageSetup paperSize="9" firstPageNumber="121" orientation="landscape" useFirstPageNumber="1"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1"/>
  <sheetViews>
    <sheetView topLeftCell="A22" workbookViewId="0">
      <selection activeCell="L37" sqref="L37"/>
    </sheetView>
  </sheetViews>
  <sheetFormatPr defaultColWidth="8" defaultRowHeight="15.6"/>
  <cols>
    <col min="1" max="1" width="27.25" style="394" customWidth="1"/>
    <col min="2" max="2" width="10.1296296296296" style="394" customWidth="1"/>
    <col min="3" max="3" width="10" style="395" customWidth="1"/>
    <col min="4" max="4" width="9.75" style="394" customWidth="1"/>
    <col min="5" max="5" width="9.5" style="396" customWidth="1"/>
    <col min="6" max="6" width="9.62962962962963" style="394" customWidth="1"/>
    <col min="7" max="7" width="0.12962962962963" style="394" hidden="1" customWidth="1"/>
    <col min="8" max="8" width="10.1296296296296" style="394" customWidth="1"/>
    <col min="9" max="9" width="9.62962962962963" style="394" customWidth="1"/>
    <col min="10" max="10" width="9.37962962962963" style="394" customWidth="1"/>
    <col min="11" max="11" width="10.75" style="394" customWidth="1"/>
    <col min="12" max="12" width="10.5" style="394" customWidth="1"/>
    <col min="13" max="13" width="8.62962962962963" style="394" customWidth="1"/>
    <col min="14" max="14" width="7.62962962962963" style="394" customWidth="1"/>
    <col min="15" max="17" width="8" style="394" hidden="1" customWidth="1"/>
    <col min="18" max="16384" width="8" style="394"/>
  </cols>
  <sheetData>
    <row r="1" s="394" customFormat="1" ht="21" customHeight="1" spans="1:5">
      <c r="A1" s="5" t="s">
        <v>113</v>
      </c>
      <c r="C1" s="395"/>
      <c r="E1" s="396"/>
    </row>
    <row r="2" s="394" customFormat="1" ht="29.25" customHeight="1" spans="1:14">
      <c r="A2" s="397" t="s">
        <v>114</v>
      </c>
      <c r="B2" s="397"/>
      <c r="C2" s="397"/>
      <c r="D2" s="397"/>
      <c r="E2" s="397"/>
      <c r="F2" s="397"/>
      <c r="G2" s="397"/>
      <c r="H2" s="397"/>
      <c r="I2" s="397"/>
      <c r="J2" s="397"/>
      <c r="K2" s="397"/>
      <c r="L2" s="397"/>
      <c r="M2" s="397"/>
      <c r="N2" s="397"/>
    </row>
    <row r="3" s="394" customFormat="1" ht="20.25" customHeight="1" spans="1:14">
      <c r="A3" s="397"/>
      <c r="B3" s="397"/>
      <c r="C3" s="397"/>
      <c r="D3" s="397"/>
      <c r="E3" s="397"/>
      <c r="F3" s="397"/>
      <c r="G3" s="397"/>
      <c r="H3" s="397"/>
      <c r="I3" s="397"/>
      <c r="J3" s="397"/>
      <c r="K3" s="397"/>
      <c r="L3" s="418" t="s">
        <v>2</v>
      </c>
      <c r="M3" s="418"/>
      <c r="N3" s="418"/>
    </row>
    <row r="4" s="394" customFormat="1" ht="24.75" customHeight="1" spans="1:14">
      <c r="A4" s="398" t="s">
        <v>3</v>
      </c>
      <c r="B4" s="399" t="s">
        <v>4</v>
      </c>
      <c r="C4" s="400"/>
      <c r="D4" s="400"/>
      <c r="E4" s="400"/>
      <c r="F4" s="400"/>
      <c r="G4" s="400"/>
      <c r="H4" s="400"/>
      <c r="I4" s="400"/>
      <c r="J4" s="400"/>
      <c r="K4" s="405" t="s">
        <v>5</v>
      </c>
      <c r="L4" s="405"/>
      <c r="M4" s="405"/>
      <c r="N4" s="405"/>
    </row>
    <row r="5" s="394" customFormat="1" ht="36.95" customHeight="1" spans="1:17">
      <c r="A5" s="398"/>
      <c r="B5" s="399" t="s">
        <v>115</v>
      </c>
      <c r="C5" s="401"/>
      <c r="D5" s="402" t="s">
        <v>116</v>
      </c>
      <c r="E5" s="403" t="s">
        <v>8</v>
      </c>
      <c r="F5" s="404" t="s">
        <v>117</v>
      </c>
      <c r="G5" s="404" t="s">
        <v>118</v>
      </c>
      <c r="H5" s="402" t="s">
        <v>10</v>
      </c>
      <c r="I5" s="405" t="s">
        <v>119</v>
      </c>
      <c r="J5" s="399"/>
      <c r="K5" s="402" t="s">
        <v>12</v>
      </c>
      <c r="L5" s="402" t="s">
        <v>120</v>
      </c>
      <c r="M5" s="419" t="s">
        <v>121</v>
      </c>
      <c r="N5" s="419"/>
      <c r="Q5" s="394" t="s">
        <v>122</v>
      </c>
    </row>
    <row r="6" s="394" customFormat="1" ht="36" customHeight="1" spans="1:14">
      <c r="A6" s="398"/>
      <c r="B6" s="405" t="s">
        <v>123</v>
      </c>
      <c r="C6" s="406" t="s">
        <v>120</v>
      </c>
      <c r="D6" s="407"/>
      <c r="E6" s="408"/>
      <c r="F6" s="409"/>
      <c r="G6" s="409"/>
      <c r="H6" s="407"/>
      <c r="I6" s="405" t="s">
        <v>14</v>
      </c>
      <c r="J6" s="420" t="s">
        <v>16</v>
      </c>
      <c r="K6" s="407"/>
      <c r="L6" s="407"/>
      <c r="M6" s="405" t="s">
        <v>14</v>
      </c>
      <c r="N6" s="405" t="s">
        <v>16</v>
      </c>
    </row>
    <row r="7" s="394" customFormat="1" ht="24.75" customHeight="1" spans="1:14">
      <c r="A7" s="113" t="s">
        <v>124</v>
      </c>
      <c r="B7" s="410">
        <v>19931</v>
      </c>
      <c r="C7" s="53">
        <v>19805</v>
      </c>
      <c r="D7" s="53">
        <f t="shared" ref="D7:D26" si="0">E7+Q7</f>
        <v>24734</v>
      </c>
      <c r="E7" s="53">
        <v>24734</v>
      </c>
      <c r="F7" s="411">
        <f t="shared" ref="F7:F26" si="1">E7/D7</f>
        <v>1</v>
      </c>
      <c r="G7" s="412">
        <f t="shared" ref="G7:G31" si="2">D7-E7</f>
        <v>0</v>
      </c>
      <c r="H7" s="53">
        <v>26684</v>
      </c>
      <c r="I7" s="53">
        <f t="shared" ref="I7:I26" si="3">E7-H7</f>
        <v>-1950</v>
      </c>
      <c r="J7" s="411">
        <f t="shared" ref="J7:J25" si="4">I7/H7</f>
        <v>-0.0730774996252436</v>
      </c>
      <c r="K7" s="421">
        <v>20397.9801</v>
      </c>
      <c r="L7" s="422">
        <v>20270</v>
      </c>
      <c r="M7" s="53">
        <f t="shared" ref="M7:M29" si="5">L7-C7</f>
        <v>465</v>
      </c>
      <c r="N7" s="54">
        <f t="shared" ref="N7:N29" si="6">M7/C7</f>
        <v>0.0234789194647816</v>
      </c>
    </row>
    <row r="8" s="394" customFormat="1" ht="24.75" customHeight="1" spans="1:14">
      <c r="A8" s="113" t="s">
        <v>125</v>
      </c>
      <c r="B8" s="396"/>
      <c r="C8" s="53"/>
      <c r="D8" s="53">
        <f t="shared" si="0"/>
        <v>0</v>
      </c>
      <c r="E8" s="53"/>
      <c r="F8" s="411"/>
      <c r="G8" s="412">
        <f t="shared" si="2"/>
        <v>0</v>
      </c>
      <c r="H8" s="53"/>
      <c r="I8" s="53">
        <f t="shared" si="3"/>
        <v>0</v>
      </c>
      <c r="J8" s="411"/>
      <c r="K8" s="423"/>
      <c r="L8" s="424"/>
      <c r="M8" s="53">
        <f t="shared" si="5"/>
        <v>0</v>
      </c>
      <c r="N8" s="54"/>
    </row>
    <row r="9" s="394" customFormat="1" ht="24.75" customHeight="1" spans="1:14">
      <c r="A9" s="113" t="s">
        <v>126</v>
      </c>
      <c r="B9" s="53">
        <v>129</v>
      </c>
      <c r="C9" s="53">
        <v>129</v>
      </c>
      <c r="D9" s="53">
        <f t="shared" si="0"/>
        <v>331</v>
      </c>
      <c r="E9" s="53">
        <v>331</v>
      </c>
      <c r="F9" s="411">
        <f t="shared" si="1"/>
        <v>1</v>
      </c>
      <c r="G9" s="412">
        <f t="shared" si="2"/>
        <v>0</v>
      </c>
      <c r="H9" s="53">
        <v>179</v>
      </c>
      <c r="I9" s="53">
        <f t="shared" si="3"/>
        <v>152</v>
      </c>
      <c r="J9" s="411">
        <f t="shared" si="4"/>
        <v>0.849162011173184</v>
      </c>
      <c r="K9" s="425">
        <v>222.34</v>
      </c>
      <c r="L9" s="422">
        <v>222</v>
      </c>
      <c r="M9" s="53">
        <f t="shared" si="5"/>
        <v>93</v>
      </c>
      <c r="N9" s="54">
        <f t="shared" si="6"/>
        <v>0.720930232558139</v>
      </c>
    </row>
    <row r="10" s="394" customFormat="1" ht="24.75" customHeight="1" spans="1:17">
      <c r="A10" s="113" t="s">
        <v>127</v>
      </c>
      <c r="B10" s="53">
        <v>10367</v>
      </c>
      <c r="C10" s="53">
        <v>7750</v>
      </c>
      <c r="D10" s="53">
        <f t="shared" si="0"/>
        <v>11707</v>
      </c>
      <c r="E10" s="53">
        <v>11687</v>
      </c>
      <c r="F10" s="411">
        <f t="shared" si="1"/>
        <v>0.998291620398052</v>
      </c>
      <c r="G10" s="412">
        <f t="shared" si="2"/>
        <v>20</v>
      </c>
      <c r="H10" s="53">
        <v>13864</v>
      </c>
      <c r="I10" s="53">
        <f t="shared" si="3"/>
        <v>-2177</v>
      </c>
      <c r="J10" s="411">
        <f t="shared" si="4"/>
        <v>-0.15702538949798</v>
      </c>
      <c r="K10" s="421">
        <v>9845</v>
      </c>
      <c r="L10" s="422">
        <v>7919</v>
      </c>
      <c r="M10" s="53">
        <f t="shared" si="5"/>
        <v>169</v>
      </c>
      <c r="N10" s="54">
        <f t="shared" si="6"/>
        <v>0.0218064516129032</v>
      </c>
      <c r="O10" s="394" t="s">
        <v>128</v>
      </c>
      <c r="P10" s="394" t="s">
        <v>129</v>
      </c>
      <c r="Q10" s="394">
        <v>20</v>
      </c>
    </row>
    <row r="11" s="394" customFormat="1" ht="24.75" customHeight="1" spans="1:17">
      <c r="A11" s="113" t="s">
        <v>130</v>
      </c>
      <c r="B11" s="53">
        <v>59129</v>
      </c>
      <c r="C11" s="53">
        <v>31336</v>
      </c>
      <c r="D11" s="53">
        <f t="shared" si="0"/>
        <v>51516</v>
      </c>
      <c r="E11" s="53">
        <v>51514</v>
      </c>
      <c r="F11" s="411">
        <f t="shared" si="1"/>
        <v>0.999961177110024</v>
      </c>
      <c r="G11" s="412">
        <f t="shared" si="2"/>
        <v>2</v>
      </c>
      <c r="H11" s="53">
        <v>67737</v>
      </c>
      <c r="I11" s="53">
        <f t="shared" si="3"/>
        <v>-16223</v>
      </c>
      <c r="J11" s="411">
        <f t="shared" si="4"/>
        <v>-0.239499830225726</v>
      </c>
      <c r="K11" s="421">
        <v>53981</v>
      </c>
      <c r="L11" s="422">
        <v>37318</v>
      </c>
      <c r="M11" s="53">
        <f t="shared" si="5"/>
        <v>5982</v>
      </c>
      <c r="N11" s="54">
        <f t="shared" si="6"/>
        <v>0.190898646923666</v>
      </c>
      <c r="Q11" s="394">
        <v>2</v>
      </c>
    </row>
    <row r="12" s="394" customFormat="1" ht="24.75" customHeight="1" spans="1:14">
      <c r="A12" s="113" t="s">
        <v>131</v>
      </c>
      <c r="B12" s="396">
        <v>594</v>
      </c>
      <c r="C12" s="53">
        <v>584</v>
      </c>
      <c r="D12" s="53">
        <f t="shared" si="0"/>
        <v>315</v>
      </c>
      <c r="E12" s="53">
        <v>315</v>
      </c>
      <c r="F12" s="411">
        <f t="shared" si="1"/>
        <v>1</v>
      </c>
      <c r="G12" s="412">
        <f t="shared" si="2"/>
        <v>0</v>
      </c>
      <c r="H12" s="53">
        <v>661</v>
      </c>
      <c r="I12" s="53">
        <f t="shared" si="3"/>
        <v>-346</v>
      </c>
      <c r="J12" s="411">
        <f t="shared" si="4"/>
        <v>-0.523449319213313</v>
      </c>
      <c r="K12" s="421">
        <v>482</v>
      </c>
      <c r="L12" s="422">
        <v>482</v>
      </c>
      <c r="M12" s="53">
        <f t="shared" si="5"/>
        <v>-102</v>
      </c>
      <c r="N12" s="54">
        <f t="shared" si="6"/>
        <v>-0.174657534246575</v>
      </c>
    </row>
    <row r="13" s="394" customFormat="1" ht="24.75" customHeight="1" spans="1:14">
      <c r="A13" s="113" t="s">
        <v>132</v>
      </c>
      <c r="B13" s="53">
        <v>3145</v>
      </c>
      <c r="C13" s="53">
        <v>1776</v>
      </c>
      <c r="D13" s="53">
        <f t="shared" si="0"/>
        <v>4460</v>
      </c>
      <c r="E13" s="53">
        <v>4460</v>
      </c>
      <c r="F13" s="411">
        <f t="shared" si="1"/>
        <v>1</v>
      </c>
      <c r="G13" s="412">
        <f t="shared" si="2"/>
        <v>0</v>
      </c>
      <c r="H13" s="53">
        <v>4157</v>
      </c>
      <c r="I13" s="53">
        <f t="shared" si="3"/>
        <v>303</v>
      </c>
      <c r="J13" s="411">
        <f t="shared" si="4"/>
        <v>0.0728891027183065</v>
      </c>
      <c r="K13" s="421">
        <f>3095+23+5</f>
        <v>3123</v>
      </c>
      <c r="L13" s="422">
        <v>1800</v>
      </c>
      <c r="M13" s="53">
        <f t="shared" si="5"/>
        <v>24</v>
      </c>
      <c r="N13" s="54">
        <f t="shared" si="6"/>
        <v>0.0135135135135135</v>
      </c>
    </row>
    <row r="14" s="394" customFormat="1" ht="24.75" customHeight="1" spans="1:14">
      <c r="A14" s="113" t="s">
        <v>133</v>
      </c>
      <c r="B14" s="53">
        <v>33553</v>
      </c>
      <c r="C14" s="53">
        <v>15933</v>
      </c>
      <c r="D14" s="53">
        <f t="shared" si="0"/>
        <v>42472</v>
      </c>
      <c r="E14" s="53">
        <v>42472</v>
      </c>
      <c r="F14" s="411">
        <f t="shared" si="1"/>
        <v>1</v>
      </c>
      <c r="G14" s="412">
        <f t="shared" si="2"/>
        <v>0</v>
      </c>
      <c r="H14" s="53">
        <v>37238</v>
      </c>
      <c r="I14" s="53">
        <f t="shared" si="3"/>
        <v>5234</v>
      </c>
      <c r="J14" s="411">
        <f t="shared" si="4"/>
        <v>0.140555346688866</v>
      </c>
      <c r="K14" s="421">
        <f>29900-20</f>
        <v>29880</v>
      </c>
      <c r="L14" s="422">
        <v>16738</v>
      </c>
      <c r="M14" s="53">
        <f t="shared" si="5"/>
        <v>805</v>
      </c>
      <c r="N14" s="54">
        <f t="shared" si="6"/>
        <v>0.0505240695412038</v>
      </c>
    </row>
    <row r="15" s="394" customFormat="1" ht="24.75" customHeight="1" spans="1:16">
      <c r="A15" s="113" t="s">
        <v>134</v>
      </c>
      <c r="B15" s="53">
        <v>30059</v>
      </c>
      <c r="C15" s="53">
        <v>8336</v>
      </c>
      <c r="D15" s="53">
        <f t="shared" si="0"/>
        <v>34414</v>
      </c>
      <c r="E15" s="53">
        <v>34414</v>
      </c>
      <c r="F15" s="411">
        <f t="shared" si="1"/>
        <v>1</v>
      </c>
      <c r="G15" s="412">
        <f t="shared" si="2"/>
        <v>0</v>
      </c>
      <c r="H15" s="53">
        <v>33144</v>
      </c>
      <c r="I15" s="53">
        <f t="shared" si="3"/>
        <v>1270</v>
      </c>
      <c r="J15" s="411">
        <f t="shared" si="4"/>
        <v>0.0383176442191649</v>
      </c>
      <c r="K15" s="421">
        <v>30238</v>
      </c>
      <c r="L15" s="422">
        <v>8726</v>
      </c>
      <c r="M15" s="53">
        <f t="shared" si="5"/>
        <v>390</v>
      </c>
      <c r="N15" s="54">
        <f t="shared" si="6"/>
        <v>0.0467850287907869</v>
      </c>
      <c r="O15" s="394" t="s">
        <v>128</v>
      </c>
      <c r="P15" s="394" t="s">
        <v>135</v>
      </c>
    </row>
    <row r="16" s="394" customFormat="1" ht="24.75" customHeight="1" spans="1:17">
      <c r="A16" s="113" t="s">
        <v>136</v>
      </c>
      <c r="B16" s="53">
        <v>3184</v>
      </c>
      <c r="C16" s="53">
        <v>371</v>
      </c>
      <c r="D16" s="53">
        <f t="shared" si="0"/>
        <v>4272</v>
      </c>
      <c r="E16" s="53">
        <v>1478</v>
      </c>
      <c r="F16" s="411">
        <f t="shared" si="1"/>
        <v>0.345973782771536</v>
      </c>
      <c r="G16" s="412">
        <f t="shared" si="2"/>
        <v>2794</v>
      </c>
      <c r="H16" s="53">
        <v>3674</v>
      </c>
      <c r="I16" s="53">
        <f t="shared" si="3"/>
        <v>-2196</v>
      </c>
      <c r="J16" s="411">
        <f t="shared" si="4"/>
        <v>-0.597713663581927</v>
      </c>
      <c r="K16" s="421">
        <v>7430</v>
      </c>
      <c r="L16" s="422">
        <v>350</v>
      </c>
      <c r="M16" s="53">
        <f t="shared" si="5"/>
        <v>-21</v>
      </c>
      <c r="N16" s="54">
        <f t="shared" si="6"/>
        <v>-0.0566037735849057</v>
      </c>
      <c r="Q16" s="394">
        <v>2794</v>
      </c>
    </row>
    <row r="17" s="394" customFormat="1" ht="24.75" customHeight="1" spans="1:14">
      <c r="A17" s="113" t="s">
        <v>137</v>
      </c>
      <c r="B17" s="53">
        <v>14283</v>
      </c>
      <c r="C17" s="53">
        <v>6082</v>
      </c>
      <c r="D17" s="53">
        <f t="shared" si="0"/>
        <v>26470</v>
      </c>
      <c r="E17" s="53">
        <v>26470</v>
      </c>
      <c r="F17" s="411">
        <f t="shared" si="1"/>
        <v>1</v>
      </c>
      <c r="G17" s="412">
        <f t="shared" si="2"/>
        <v>0</v>
      </c>
      <c r="H17" s="53">
        <v>14041</v>
      </c>
      <c r="I17" s="53">
        <f t="shared" si="3"/>
        <v>12429</v>
      </c>
      <c r="J17" s="411">
        <f t="shared" si="4"/>
        <v>0.885193362296133</v>
      </c>
      <c r="K17" s="421">
        <v>10949</v>
      </c>
      <c r="L17" s="422">
        <v>6449</v>
      </c>
      <c r="M17" s="53">
        <f t="shared" si="5"/>
        <v>367</v>
      </c>
      <c r="N17" s="54">
        <f t="shared" si="6"/>
        <v>0.0603419927655377</v>
      </c>
    </row>
    <row r="18" s="394" customFormat="1" ht="24.75" customHeight="1" spans="1:17">
      <c r="A18" s="113" t="s">
        <v>138</v>
      </c>
      <c r="B18" s="53">
        <v>119466</v>
      </c>
      <c r="C18" s="53">
        <v>20680</v>
      </c>
      <c r="D18" s="53">
        <f t="shared" si="0"/>
        <v>129823</v>
      </c>
      <c r="E18" s="53">
        <v>128888</v>
      </c>
      <c r="F18" s="411">
        <f t="shared" si="1"/>
        <v>0.992797886352958</v>
      </c>
      <c r="G18" s="412">
        <f t="shared" si="2"/>
        <v>935</v>
      </c>
      <c r="H18" s="53">
        <v>125994</v>
      </c>
      <c r="I18" s="53">
        <f t="shared" si="3"/>
        <v>2894</v>
      </c>
      <c r="J18" s="411">
        <f t="shared" si="4"/>
        <v>0.0229693477467181</v>
      </c>
      <c r="K18" s="421">
        <f>100766-37</f>
        <v>100729</v>
      </c>
      <c r="L18" s="426">
        <v>15288</v>
      </c>
      <c r="M18" s="53">
        <f t="shared" si="5"/>
        <v>-5392</v>
      </c>
      <c r="N18" s="54">
        <f t="shared" si="6"/>
        <v>-0.26073500967118</v>
      </c>
      <c r="Q18" s="394">
        <v>935</v>
      </c>
    </row>
    <row r="19" s="394" customFormat="1" ht="24.75" customHeight="1" spans="1:17">
      <c r="A19" s="113" t="s">
        <v>139</v>
      </c>
      <c r="B19" s="53">
        <v>3091</v>
      </c>
      <c r="C19" s="53">
        <v>1163</v>
      </c>
      <c r="D19" s="53">
        <f t="shared" si="0"/>
        <v>9271</v>
      </c>
      <c r="E19" s="53">
        <v>8271</v>
      </c>
      <c r="F19" s="411">
        <f t="shared" si="1"/>
        <v>0.892136770574911</v>
      </c>
      <c r="G19" s="412">
        <f t="shared" si="2"/>
        <v>1000</v>
      </c>
      <c r="H19" s="53">
        <v>6534</v>
      </c>
      <c r="I19" s="53">
        <f t="shared" si="3"/>
        <v>1737</v>
      </c>
      <c r="J19" s="411">
        <f t="shared" si="4"/>
        <v>0.265840220385675</v>
      </c>
      <c r="K19" s="421">
        <v>6945</v>
      </c>
      <c r="L19" s="422">
        <v>1014</v>
      </c>
      <c r="M19" s="53">
        <f t="shared" si="5"/>
        <v>-149</v>
      </c>
      <c r="N19" s="54">
        <f t="shared" si="6"/>
        <v>-0.128116938950989</v>
      </c>
      <c r="Q19" s="394">
        <v>1000</v>
      </c>
    </row>
    <row r="20" s="394" customFormat="1" ht="24.75" customHeight="1" spans="1:14">
      <c r="A20" s="113" t="s">
        <v>140</v>
      </c>
      <c r="B20" s="410">
        <v>472</v>
      </c>
      <c r="C20" s="53">
        <v>469</v>
      </c>
      <c r="D20" s="53">
        <f t="shared" si="0"/>
        <v>1418</v>
      </c>
      <c r="E20" s="53">
        <v>1418</v>
      </c>
      <c r="F20" s="411">
        <f t="shared" si="1"/>
        <v>1</v>
      </c>
      <c r="G20" s="412">
        <f t="shared" si="2"/>
        <v>0</v>
      </c>
      <c r="H20" s="53">
        <v>1657</v>
      </c>
      <c r="I20" s="53">
        <f t="shared" si="3"/>
        <v>-239</v>
      </c>
      <c r="J20" s="411">
        <f t="shared" si="4"/>
        <v>-0.144236572118286</v>
      </c>
      <c r="K20" s="421">
        <v>817</v>
      </c>
      <c r="L20" s="422">
        <v>437</v>
      </c>
      <c r="M20" s="53">
        <f t="shared" si="5"/>
        <v>-32</v>
      </c>
      <c r="N20" s="54">
        <f t="shared" si="6"/>
        <v>-0.0682302771855011</v>
      </c>
    </row>
    <row r="21" s="394" customFormat="1" ht="24.75" customHeight="1" spans="1:17">
      <c r="A21" s="113" t="s">
        <v>141</v>
      </c>
      <c r="B21" s="53">
        <v>2813</v>
      </c>
      <c r="C21" s="53">
        <v>101</v>
      </c>
      <c r="D21" s="53">
        <f t="shared" si="0"/>
        <v>3734</v>
      </c>
      <c r="E21" s="53">
        <v>2552</v>
      </c>
      <c r="F21" s="411">
        <f t="shared" si="1"/>
        <v>0.683449384038565</v>
      </c>
      <c r="G21" s="412">
        <f t="shared" si="2"/>
        <v>1182</v>
      </c>
      <c r="H21" s="53">
        <v>2560</v>
      </c>
      <c r="I21" s="53">
        <f t="shared" si="3"/>
        <v>-8</v>
      </c>
      <c r="J21" s="411">
        <f t="shared" si="4"/>
        <v>-0.003125</v>
      </c>
      <c r="K21" s="421">
        <f>2071+35</f>
        <v>2106</v>
      </c>
      <c r="L21" s="422">
        <v>88</v>
      </c>
      <c r="M21" s="53">
        <f t="shared" si="5"/>
        <v>-13</v>
      </c>
      <c r="N21" s="54">
        <f t="shared" si="6"/>
        <v>-0.128712871287129</v>
      </c>
      <c r="Q21" s="394">
        <v>1182</v>
      </c>
    </row>
    <row r="22" s="394" customFormat="1" ht="24.75" customHeight="1" spans="1:14">
      <c r="A22" s="113" t="s">
        <v>142</v>
      </c>
      <c r="B22" s="410">
        <v>534</v>
      </c>
      <c r="C22" s="53">
        <v>534</v>
      </c>
      <c r="D22" s="53">
        <f t="shared" si="0"/>
        <v>110</v>
      </c>
      <c r="E22" s="53">
        <v>110</v>
      </c>
      <c r="F22" s="411">
        <f t="shared" si="1"/>
        <v>1</v>
      </c>
      <c r="G22" s="412">
        <f t="shared" si="2"/>
        <v>0</v>
      </c>
      <c r="H22" s="53">
        <v>22</v>
      </c>
      <c r="I22" s="53">
        <f t="shared" si="3"/>
        <v>88</v>
      </c>
      <c r="J22" s="411">
        <f t="shared" si="4"/>
        <v>4</v>
      </c>
      <c r="K22" s="421">
        <f>1109+10</f>
        <v>1119</v>
      </c>
      <c r="L22" s="422">
        <v>1109</v>
      </c>
      <c r="M22" s="53">
        <f t="shared" si="5"/>
        <v>575</v>
      </c>
      <c r="N22" s="54">
        <f t="shared" si="6"/>
        <v>1.07677902621723</v>
      </c>
    </row>
    <row r="23" s="394" customFormat="1" ht="24.75" customHeight="1" spans="1:14">
      <c r="A23" s="113" t="s">
        <v>143</v>
      </c>
      <c r="B23" s="53">
        <v>3437</v>
      </c>
      <c r="C23" s="53">
        <v>797</v>
      </c>
      <c r="D23" s="53">
        <f t="shared" si="0"/>
        <v>6910</v>
      </c>
      <c r="E23" s="53">
        <v>6910</v>
      </c>
      <c r="F23" s="411">
        <f t="shared" si="1"/>
        <v>1</v>
      </c>
      <c r="G23" s="412">
        <f t="shared" si="2"/>
        <v>0</v>
      </c>
      <c r="H23" s="53">
        <v>3126</v>
      </c>
      <c r="I23" s="53">
        <f t="shared" si="3"/>
        <v>3784</v>
      </c>
      <c r="J23" s="411">
        <f t="shared" si="4"/>
        <v>1.21049264235445</v>
      </c>
      <c r="K23" s="421">
        <f>639+61.7</f>
        <v>700.7</v>
      </c>
      <c r="L23" s="422">
        <f>639+61.7</f>
        <v>700.7</v>
      </c>
      <c r="M23" s="53">
        <f t="shared" si="5"/>
        <v>-96.3</v>
      </c>
      <c r="N23" s="54">
        <f t="shared" si="6"/>
        <v>-0.120828105395232</v>
      </c>
    </row>
    <row r="24" s="394" customFormat="1" ht="24.75" customHeight="1" spans="1:14">
      <c r="A24" s="113" t="s">
        <v>144</v>
      </c>
      <c r="B24" s="53">
        <v>9927</v>
      </c>
      <c r="C24" s="53">
        <v>7259</v>
      </c>
      <c r="D24" s="53">
        <f t="shared" si="0"/>
        <v>8173</v>
      </c>
      <c r="E24" s="53">
        <v>8173</v>
      </c>
      <c r="F24" s="411">
        <f t="shared" si="1"/>
        <v>1</v>
      </c>
      <c r="G24" s="412">
        <f t="shared" si="2"/>
        <v>0</v>
      </c>
      <c r="H24" s="53">
        <v>3431</v>
      </c>
      <c r="I24" s="53">
        <f t="shared" si="3"/>
        <v>4742</v>
      </c>
      <c r="J24" s="411">
        <f t="shared" si="4"/>
        <v>1.38210434275721</v>
      </c>
      <c r="K24" s="421">
        <v>10269</v>
      </c>
      <c r="L24" s="422">
        <v>8289</v>
      </c>
      <c r="M24" s="53">
        <f t="shared" si="5"/>
        <v>1030</v>
      </c>
      <c r="N24" s="54">
        <f t="shared" si="6"/>
        <v>0.141892822702852</v>
      </c>
    </row>
    <row r="25" s="394" customFormat="1" ht="24.75" customHeight="1" spans="1:17">
      <c r="A25" s="113" t="s">
        <v>145</v>
      </c>
      <c r="B25" s="53">
        <v>276</v>
      </c>
      <c r="C25" s="53">
        <v>276</v>
      </c>
      <c r="D25" s="53">
        <f t="shared" si="0"/>
        <v>1193</v>
      </c>
      <c r="E25" s="53">
        <v>1134</v>
      </c>
      <c r="F25" s="411">
        <f t="shared" si="1"/>
        <v>0.950544844928751</v>
      </c>
      <c r="G25" s="412">
        <f t="shared" si="2"/>
        <v>59</v>
      </c>
      <c r="H25" s="53">
        <v>313</v>
      </c>
      <c r="I25" s="53">
        <f t="shared" si="3"/>
        <v>821</v>
      </c>
      <c r="J25" s="411">
        <f t="shared" si="4"/>
        <v>2.62300319488818</v>
      </c>
      <c r="K25" s="421">
        <v>348</v>
      </c>
      <c r="L25" s="421">
        <v>290</v>
      </c>
      <c r="M25" s="53">
        <f t="shared" si="5"/>
        <v>14</v>
      </c>
      <c r="N25" s="54">
        <f t="shared" si="6"/>
        <v>0.0507246376811594</v>
      </c>
      <c r="Q25" s="394">
        <v>59</v>
      </c>
    </row>
    <row r="26" s="394" customFormat="1" ht="24.75" customHeight="1" spans="1:14">
      <c r="A26" s="113" t="s">
        <v>146</v>
      </c>
      <c r="B26" s="53">
        <v>860</v>
      </c>
      <c r="C26" s="53">
        <v>860</v>
      </c>
      <c r="D26" s="53">
        <f t="shared" si="0"/>
        <v>2036</v>
      </c>
      <c r="E26" s="53">
        <v>2036</v>
      </c>
      <c r="F26" s="411">
        <f t="shared" si="1"/>
        <v>1</v>
      </c>
      <c r="G26" s="412">
        <f t="shared" si="2"/>
        <v>0</v>
      </c>
      <c r="H26" s="53">
        <v>1091</v>
      </c>
      <c r="I26" s="53">
        <f t="shared" si="3"/>
        <v>945</v>
      </c>
      <c r="J26" s="411">
        <v>1</v>
      </c>
      <c r="K26" s="421">
        <v>1308</v>
      </c>
      <c r="L26" s="422">
        <v>1308</v>
      </c>
      <c r="M26" s="53">
        <f t="shared" si="5"/>
        <v>448</v>
      </c>
      <c r="N26" s="54">
        <f t="shared" si="6"/>
        <v>0.52093023255814</v>
      </c>
    </row>
    <row r="27" s="394" customFormat="1" ht="24.75" customHeight="1" spans="1:14">
      <c r="A27" s="113" t="s">
        <v>147</v>
      </c>
      <c r="B27" s="53">
        <v>1500</v>
      </c>
      <c r="C27" s="53">
        <v>1500</v>
      </c>
      <c r="D27" s="53"/>
      <c r="E27" s="53"/>
      <c r="F27" s="411"/>
      <c r="G27" s="412">
        <f t="shared" si="2"/>
        <v>0</v>
      </c>
      <c r="H27" s="53"/>
      <c r="I27" s="53"/>
      <c r="J27" s="411"/>
      <c r="K27" s="421">
        <v>2300</v>
      </c>
      <c r="L27" s="422">
        <v>2300</v>
      </c>
      <c r="M27" s="53">
        <f t="shared" si="5"/>
        <v>800</v>
      </c>
      <c r="N27" s="54">
        <f t="shared" si="6"/>
        <v>0.533333333333333</v>
      </c>
    </row>
    <row r="28" s="394" customFormat="1" ht="24.75" customHeight="1" spans="1:17">
      <c r="A28" s="113" t="s">
        <v>148</v>
      </c>
      <c r="B28" s="53">
        <v>19351</v>
      </c>
      <c r="C28" s="53">
        <v>19325</v>
      </c>
      <c r="D28" s="53">
        <f>E28+Q28</f>
        <v>20703</v>
      </c>
      <c r="E28" s="53">
        <v>18105</v>
      </c>
      <c r="F28" s="411">
        <f t="shared" ref="F28:F31" si="7">E28/D28</f>
        <v>0.874510940443414</v>
      </c>
      <c r="G28" s="412">
        <f t="shared" si="2"/>
        <v>2598</v>
      </c>
      <c r="H28" s="53">
        <v>6998</v>
      </c>
      <c r="I28" s="53">
        <f t="shared" ref="I28:I41" si="8">E28-H28</f>
        <v>11107</v>
      </c>
      <c r="J28" s="411">
        <f t="shared" ref="J28:J34" si="9">I28/H28</f>
        <v>1.58716776221778</v>
      </c>
      <c r="K28" s="421">
        <f>24193-62-25</f>
        <v>24106</v>
      </c>
      <c r="L28" s="422">
        <f>21558-62</f>
        <v>21496</v>
      </c>
      <c r="M28" s="53">
        <f t="shared" si="5"/>
        <v>2171</v>
      </c>
      <c r="N28" s="54">
        <f t="shared" si="6"/>
        <v>0.112341526520052</v>
      </c>
      <c r="O28" s="394" t="s">
        <v>128</v>
      </c>
      <c r="P28" s="394" t="s">
        <v>149</v>
      </c>
      <c r="Q28" s="394">
        <f>2635-37</f>
        <v>2598</v>
      </c>
    </row>
    <row r="29" s="394" customFormat="1" ht="24.75" customHeight="1" spans="1:14">
      <c r="A29" s="113" t="s">
        <v>150</v>
      </c>
      <c r="B29" s="53">
        <v>5617</v>
      </c>
      <c r="C29" s="79">
        <v>5617</v>
      </c>
      <c r="D29" s="53">
        <f>E29+Q29</f>
        <v>5527</v>
      </c>
      <c r="E29" s="53">
        <v>5527</v>
      </c>
      <c r="F29" s="411">
        <f t="shared" si="7"/>
        <v>1</v>
      </c>
      <c r="G29" s="412">
        <f t="shared" si="2"/>
        <v>0</v>
      </c>
      <c r="H29" s="53">
        <v>5250</v>
      </c>
      <c r="I29" s="53">
        <f t="shared" si="8"/>
        <v>277</v>
      </c>
      <c r="J29" s="411">
        <f t="shared" si="9"/>
        <v>0.0527619047619048</v>
      </c>
      <c r="K29" s="421">
        <v>6171</v>
      </c>
      <c r="L29" s="422">
        <v>6171</v>
      </c>
      <c r="M29" s="53">
        <f t="shared" si="5"/>
        <v>554</v>
      </c>
      <c r="N29" s="54">
        <f t="shared" si="6"/>
        <v>0.0986291614740965</v>
      </c>
    </row>
    <row r="30" s="394" customFormat="1" ht="24.75" customHeight="1" spans="1:14">
      <c r="A30" s="113" t="s">
        <v>151</v>
      </c>
      <c r="B30" s="53"/>
      <c r="C30" s="79"/>
      <c r="D30" s="53"/>
      <c r="E30" s="53"/>
      <c r="F30" s="411"/>
      <c r="G30" s="412">
        <f t="shared" si="2"/>
        <v>0</v>
      </c>
      <c r="H30" s="53">
        <v>13</v>
      </c>
      <c r="I30" s="53">
        <f t="shared" si="8"/>
        <v>-13</v>
      </c>
      <c r="J30" s="411">
        <f t="shared" si="9"/>
        <v>-1</v>
      </c>
      <c r="K30" s="427"/>
      <c r="L30" s="428"/>
      <c r="M30" s="53"/>
      <c r="N30" s="54"/>
    </row>
    <row r="31" s="394" customFormat="1" ht="24.75" customHeight="1" spans="1:17">
      <c r="A31" s="108" t="s">
        <v>152</v>
      </c>
      <c r="B31" s="413">
        <f>SUM(B7:B29)</f>
        <v>341718</v>
      </c>
      <c r="C31" s="413">
        <f>SUM(C7:C29)</f>
        <v>150683</v>
      </c>
      <c r="D31" s="413">
        <f t="shared" ref="D31:H31" si="10">SUM(D7:D30)</f>
        <v>389589</v>
      </c>
      <c r="E31" s="413">
        <f t="shared" si="10"/>
        <v>380999</v>
      </c>
      <c r="F31" s="414">
        <f t="shared" si="7"/>
        <v>0.977951122849978</v>
      </c>
      <c r="G31" s="412">
        <f t="shared" si="2"/>
        <v>8590</v>
      </c>
      <c r="H31" s="413">
        <f t="shared" si="10"/>
        <v>358368</v>
      </c>
      <c r="I31" s="413">
        <f t="shared" si="8"/>
        <v>22631</v>
      </c>
      <c r="J31" s="414">
        <f t="shared" si="9"/>
        <v>0.0631501696580052</v>
      </c>
      <c r="K31" s="413">
        <f>SUM(K7:K29)</f>
        <v>323467.0201</v>
      </c>
      <c r="L31" s="413">
        <f>SUM(L7:L29)</f>
        <v>158764.7</v>
      </c>
      <c r="M31" s="53">
        <f t="shared" ref="M31:M37" si="11">L31-C31</f>
        <v>8081.70000000001</v>
      </c>
      <c r="N31" s="54">
        <f t="shared" ref="N31:N34" si="12">M31/C31</f>
        <v>0.0536337874876397</v>
      </c>
      <c r="Q31" s="394">
        <f>SUM(Q7:Q28)</f>
        <v>8590</v>
      </c>
    </row>
    <row r="32" s="394" customFormat="1" ht="24.75" customHeight="1" spans="1:14">
      <c r="A32" s="108" t="s">
        <v>153</v>
      </c>
      <c r="B32" s="413">
        <f>SUM(B33,B35:B39)</f>
        <v>842</v>
      </c>
      <c r="C32" s="413">
        <f t="shared" ref="C32:H32" si="13">SUM(C33,C35:C39)</f>
        <v>842</v>
      </c>
      <c r="D32" s="413">
        <f t="shared" si="13"/>
        <v>4556</v>
      </c>
      <c r="E32" s="413">
        <f t="shared" si="13"/>
        <v>13146</v>
      </c>
      <c r="F32" s="414"/>
      <c r="G32" s="415"/>
      <c r="H32" s="413">
        <f t="shared" si="13"/>
        <v>29172</v>
      </c>
      <c r="I32" s="53">
        <f t="shared" si="8"/>
        <v>-16026</v>
      </c>
      <c r="J32" s="411">
        <f t="shared" si="9"/>
        <v>-0.549362402303579</v>
      </c>
      <c r="K32" s="413">
        <f>SUM(K33,K35:K39)</f>
        <v>1904</v>
      </c>
      <c r="L32" s="413">
        <f>SUM(L33,L35:L39)</f>
        <v>1904</v>
      </c>
      <c r="M32" s="53"/>
      <c r="N32" s="54">
        <f t="shared" si="12"/>
        <v>0</v>
      </c>
    </row>
    <row r="33" s="394" customFormat="1" ht="21" customHeight="1" spans="1:14">
      <c r="A33" s="416" t="s">
        <v>154</v>
      </c>
      <c r="B33" s="53">
        <f>B34</f>
        <v>842</v>
      </c>
      <c r="C33" s="53">
        <f t="shared" ref="C33:H33" si="14">C34</f>
        <v>842</v>
      </c>
      <c r="D33" s="53">
        <v>1356</v>
      </c>
      <c r="E33" s="53">
        <f t="shared" si="14"/>
        <v>1356</v>
      </c>
      <c r="F33" s="411"/>
      <c r="G33" s="412"/>
      <c r="H33" s="53">
        <f t="shared" si="14"/>
        <v>1356</v>
      </c>
      <c r="I33" s="53">
        <f t="shared" si="8"/>
        <v>0</v>
      </c>
      <c r="J33" s="411">
        <f t="shared" si="9"/>
        <v>0</v>
      </c>
      <c r="K33" s="427">
        <f>K34</f>
        <v>1365</v>
      </c>
      <c r="L33" s="427">
        <f>L34</f>
        <v>1365</v>
      </c>
      <c r="M33" s="53"/>
      <c r="N33" s="429">
        <f t="shared" si="12"/>
        <v>0</v>
      </c>
    </row>
    <row r="34" s="394" customFormat="1" ht="21" customHeight="1" spans="1:14">
      <c r="A34" s="113" t="s">
        <v>155</v>
      </c>
      <c r="B34" s="53">
        <v>842</v>
      </c>
      <c r="C34" s="53">
        <v>842</v>
      </c>
      <c r="D34" s="53">
        <v>1356</v>
      </c>
      <c r="E34" s="53">
        <v>1356</v>
      </c>
      <c r="F34" s="411"/>
      <c r="G34" s="412"/>
      <c r="H34" s="53">
        <v>1356</v>
      </c>
      <c r="I34" s="53">
        <f t="shared" si="8"/>
        <v>0</v>
      </c>
      <c r="J34" s="411">
        <f t="shared" si="9"/>
        <v>0</v>
      </c>
      <c r="K34" s="427">
        <v>1365</v>
      </c>
      <c r="L34" s="427">
        <v>1365</v>
      </c>
      <c r="M34" s="53">
        <f t="shared" si="11"/>
        <v>523</v>
      </c>
      <c r="N34" s="429">
        <f t="shared" si="12"/>
        <v>0.621140142517815</v>
      </c>
    </row>
    <row r="35" s="394" customFormat="1" ht="21" customHeight="1" spans="1:14">
      <c r="A35" s="113" t="s">
        <v>156</v>
      </c>
      <c r="B35" s="53"/>
      <c r="C35" s="53"/>
      <c r="D35" s="53"/>
      <c r="E35" s="53"/>
      <c r="F35" s="411"/>
      <c r="G35" s="412"/>
      <c r="H35" s="417"/>
      <c r="I35" s="53">
        <f t="shared" si="8"/>
        <v>0</v>
      </c>
      <c r="J35" s="411"/>
      <c r="K35" s="427"/>
      <c r="L35" s="427"/>
      <c r="M35" s="53">
        <f t="shared" si="11"/>
        <v>0</v>
      </c>
      <c r="N35" s="429"/>
    </row>
    <row r="36" s="394" customFormat="1" ht="21" customHeight="1" spans="1:14">
      <c r="A36" s="113" t="s">
        <v>157</v>
      </c>
      <c r="B36" s="53"/>
      <c r="C36" s="53"/>
      <c r="D36" s="53"/>
      <c r="E36" s="53"/>
      <c r="F36" s="411"/>
      <c r="G36" s="412"/>
      <c r="H36" s="417"/>
      <c r="I36" s="53">
        <f t="shared" si="8"/>
        <v>0</v>
      </c>
      <c r="J36" s="411"/>
      <c r="K36" s="427"/>
      <c r="L36" s="427"/>
      <c r="M36" s="53">
        <f t="shared" si="11"/>
        <v>0</v>
      </c>
      <c r="N36" s="429"/>
    </row>
    <row r="37" s="394" customFormat="1" ht="21" customHeight="1" spans="1:14">
      <c r="A37" s="113" t="s">
        <v>158</v>
      </c>
      <c r="B37" s="53"/>
      <c r="C37" s="53"/>
      <c r="D37" s="53">
        <v>3200</v>
      </c>
      <c r="E37" s="53">
        <v>3200</v>
      </c>
      <c r="F37" s="411"/>
      <c r="G37" s="412"/>
      <c r="H37" s="53">
        <v>2500</v>
      </c>
      <c r="I37" s="53">
        <f t="shared" si="8"/>
        <v>700</v>
      </c>
      <c r="J37" s="411">
        <f t="shared" ref="J37:J41" si="15">I37/H37</f>
        <v>0.28</v>
      </c>
      <c r="K37" s="427">
        <v>539</v>
      </c>
      <c r="L37" s="427">
        <v>539</v>
      </c>
      <c r="M37" s="53">
        <f t="shared" si="11"/>
        <v>539</v>
      </c>
      <c r="N37" s="54" t="e">
        <f>M37/C37</f>
        <v>#DIV/0!</v>
      </c>
    </row>
    <row r="38" s="394" customFormat="1" ht="21" customHeight="1" spans="1:14">
      <c r="A38" s="113" t="s">
        <v>159</v>
      </c>
      <c r="B38" s="53"/>
      <c r="C38" s="53"/>
      <c r="D38" s="53"/>
      <c r="E38" s="53"/>
      <c r="F38" s="411"/>
      <c r="G38" s="412"/>
      <c r="H38" s="53"/>
      <c r="I38" s="53">
        <f t="shared" si="8"/>
        <v>0</v>
      </c>
      <c r="J38" s="411"/>
      <c r="K38" s="53"/>
      <c r="L38" s="53"/>
      <c r="M38" s="53">
        <v>0</v>
      </c>
      <c r="N38" s="411"/>
    </row>
    <row r="39" s="394" customFormat="1" ht="21" customHeight="1" spans="1:14">
      <c r="A39" s="113" t="s">
        <v>160</v>
      </c>
      <c r="B39" s="53"/>
      <c r="C39" s="53"/>
      <c r="D39" s="53"/>
      <c r="E39" s="53">
        <f>E40+E43</f>
        <v>8590</v>
      </c>
      <c r="F39" s="53"/>
      <c r="G39" s="412"/>
      <c r="H39" s="53">
        <f t="shared" ref="H39:L39" si="16">H40+H43</f>
        <v>25316</v>
      </c>
      <c r="I39" s="53">
        <f t="shared" si="8"/>
        <v>-16726</v>
      </c>
      <c r="J39" s="411">
        <f t="shared" si="15"/>
        <v>-0.660688892400063</v>
      </c>
      <c r="K39" s="53">
        <f t="shared" si="16"/>
        <v>0</v>
      </c>
      <c r="L39" s="53">
        <f t="shared" si="16"/>
        <v>0</v>
      </c>
      <c r="M39" s="53">
        <v>0</v>
      </c>
      <c r="N39" s="411"/>
    </row>
    <row r="40" s="394" customFormat="1" ht="21" customHeight="1" spans="1:14">
      <c r="A40" s="113" t="s">
        <v>161</v>
      </c>
      <c r="B40" s="53"/>
      <c r="C40" s="53"/>
      <c r="D40" s="53"/>
      <c r="E40" s="53">
        <f>E41+E42</f>
        <v>8590</v>
      </c>
      <c r="F40" s="53"/>
      <c r="G40" s="412"/>
      <c r="H40" s="53">
        <f>SUM(H41:H42)</f>
        <v>25316</v>
      </c>
      <c r="I40" s="53">
        <f t="shared" si="8"/>
        <v>-16726</v>
      </c>
      <c r="J40" s="411">
        <f t="shared" si="15"/>
        <v>-0.660688892400063</v>
      </c>
      <c r="K40" s="53"/>
      <c r="L40" s="53">
        <f>SUM(L41:L42)</f>
        <v>0</v>
      </c>
      <c r="M40" s="53">
        <v>0</v>
      </c>
      <c r="N40" s="411"/>
    </row>
    <row r="41" s="394" customFormat="1" ht="21" customHeight="1" spans="1:14">
      <c r="A41" s="113" t="s">
        <v>105</v>
      </c>
      <c r="B41" s="53"/>
      <c r="C41" s="53"/>
      <c r="D41" s="53"/>
      <c r="E41" s="53">
        <f>8627-37</f>
        <v>8590</v>
      </c>
      <c r="F41" s="53"/>
      <c r="G41" s="412"/>
      <c r="H41" s="53">
        <v>25316</v>
      </c>
      <c r="I41" s="53">
        <f t="shared" si="8"/>
        <v>-16726</v>
      </c>
      <c r="J41" s="411">
        <f t="shared" si="15"/>
        <v>-0.660688892400063</v>
      </c>
      <c r="K41" s="53"/>
      <c r="L41" s="53"/>
      <c r="M41" s="53">
        <v>0</v>
      </c>
      <c r="N41" s="411"/>
    </row>
    <row r="42" s="394" customFormat="1" ht="21" customHeight="1" spans="1:14">
      <c r="A42" s="113" t="s">
        <v>106</v>
      </c>
      <c r="B42" s="53"/>
      <c r="C42" s="53"/>
      <c r="D42" s="53"/>
      <c r="E42" s="53"/>
      <c r="F42" s="411"/>
      <c r="G42" s="412"/>
      <c r="H42" s="53"/>
      <c r="I42" s="53"/>
      <c r="J42" s="411"/>
      <c r="K42" s="53"/>
      <c r="L42" s="53"/>
      <c r="M42" s="53">
        <v>0</v>
      </c>
      <c r="N42" s="411"/>
    </row>
    <row r="43" s="394" customFormat="1" ht="21" customHeight="1" spans="1:14">
      <c r="A43" s="113" t="s">
        <v>107</v>
      </c>
      <c r="B43" s="53"/>
      <c r="C43" s="53"/>
      <c r="D43" s="53"/>
      <c r="E43" s="53"/>
      <c r="F43" s="411"/>
      <c r="G43" s="412"/>
      <c r="H43" s="53"/>
      <c r="I43" s="53"/>
      <c r="J43" s="411"/>
      <c r="K43" s="53">
        <f>SUM(K44:K45)</f>
        <v>0</v>
      </c>
      <c r="L43" s="53">
        <f>SUM(L44:L45)</f>
        <v>0</v>
      </c>
      <c r="M43" s="53">
        <v>0</v>
      </c>
      <c r="N43" s="411"/>
    </row>
    <row r="44" s="394" customFormat="1" ht="21" customHeight="1" spans="1:14">
      <c r="A44" s="113" t="s">
        <v>105</v>
      </c>
      <c r="B44" s="53"/>
      <c r="C44" s="53"/>
      <c r="D44" s="53"/>
      <c r="E44" s="53"/>
      <c r="F44" s="411"/>
      <c r="G44" s="412"/>
      <c r="H44" s="53"/>
      <c r="I44" s="53"/>
      <c r="J44" s="411"/>
      <c r="K44" s="53"/>
      <c r="L44" s="53"/>
      <c r="M44" s="53">
        <v>0</v>
      </c>
      <c r="N44" s="411"/>
    </row>
    <row r="45" s="394" customFormat="1" ht="21" customHeight="1" spans="1:14">
      <c r="A45" s="113" t="s">
        <v>106</v>
      </c>
      <c r="B45" s="53"/>
      <c r="C45" s="53"/>
      <c r="D45" s="53"/>
      <c r="E45" s="53"/>
      <c r="F45" s="411"/>
      <c r="G45" s="412"/>
      <c r="H45" s="53"/>
      <c r="I45" s="53"/>
      <c r="J45" s="411"/>
      <c r="K45" s="53"/>
      <c r="L45" s="53"/>
      <c r="M45" s="53">
        <v>0</v>
      </c>
      <c r="N45" s="411"/>
    </row>
    <row r="46" s="394" customFormat="1" ht="24.75" customHeight="1" spans="1:14">
      <c r="A46" s="398" t="s">
        <v>162</v>
      </c>
      <c r="B46" s="413">
        <f>SUM(B31:B32)</f>
        <v>342560</v>
      </c>
      <c r="C46" s="413">
        <f t="shared" ref="C46:I46" si="17">SUM(C31:C32)</f>
        <v>151525</v>
      </c>
      <c r="D46" s="413">
        <f t="shared" si="17"/>
        <v>394145</v>
      </c>
      <c r="E46" s="413">
        <f t="shared" si="17"/>
        <v>394145</v>
      </c>
      <c r="F46" s="414">
        <f>E46/D46</f>
        <v>1</v>
      </c>
      <c r="G46" s="415"/>
      <c r="H46" s="413">
        <f t="shared" si="17"/>
        <v>387540</v>
      </c>
      <c r="I46" s="413">
        <f t="shared" si="17"/>
        <v>6605</v>
      </c>
      <c r="J46" s="414">
        <f>I46/H46</f>
        <v>0.0170434019714094</v>
      </c>
      <c r="K46" s="413">
        <f>SUM(K31:K32)</f>
        <v>325371.0201</v>
      </c>
      <c r="L46" s="413">
        <f>SUM(L31:L32)</f>
        <v>160668.7</v>
      </c>
      <c r="M46" s="413">
        <f>L46-C46</f>
        <v>9143.70000000001</v>
      </c>
      <c r="N46" s="430">
        <f>M46/C46</f>
        <v>0.0603444976076556</v>
      </c>
    </row>
    <row r="47" s="394" customFormat="1" ht="24" customHeight="1" spans="3:5">
      <c r="C47" s="395"/>
      <c r="E47" s="396"/>
    </row>
    <row r="48" s="394" customFormat="1" spans="3:5">
      <c r="C48" s="395"/>
      <c r="E48" s="396"/>
    </row>
    <row r="49" s="394" customFormat="1" spans="3:5">
      <c r="C49" s="395"/>
      <c r="E49" s="396"/>
    </row>
    <row r="50" s="394" customFormat="1" spans="3:5">
      <c r="C50" s="395"/>
      <c r="E50" s="396"/>
    </row>
    <row r="51" s="394" customFormat="1" spans="3:5">
      <c r="C51" s="395"/>
      <c r="E51" s="396"/>
    </row>
    <row r="52" s="394" customFormat="1" spans="3:5">
      <c r="C52" s="395"/>
      <c r="E52" s="396"/>
    </row>
    <row r="53" s="394" customFormat="1" spans="3:5">
      <c r="C53" s="395"/>
      <c r="E53" s="396"/>
    </row>
    <row r="54" s="394" customFormat="1" spans="3:5">
      <c r="C54" s="395"/>
      <c r="E54" s="396"/>
    </row>
    <row r="55" s="394" customFormat="1" spans="3:5">
      <c r="C55" s="395"/>
      <c r="E55" s="396"/>
    </row>
    <row r="56" s="394" customFormat="1" spans="3:5">
      <c r="C56" s="395"/>
      <c r="E56" s="396"/>
    </row>
    <row r="57" s="394" customFormat="1" spans="3:5">
      <c r="C57" s="395"/>
      <c r="E57" s="396"/>
    </row>
    <row r="58" s="394" customFormat="1" spans="3:5">
      <c r="C58" s="395"/>
      <c r="E58" s="396"/>
    </row>
    <row r="59" s="394" customFormat="1" spans="3:5">
      <c r="C59" s="395"/>
      <c r="E59" s="396"/>
    </row>
    <row r="60" s="394" customFormat="1" spans="3:5">
      <c r="C60" s="395"/>
      <c r="E60" s="396"/>
    </row>
    <row r="61" s="394" customFormat="1" spans="3:5">
      <c r="C61" s="395"/>
      <c r="E61" s="396"/>
    </row>
  </sheetData>
  <mergeCells count="15">
    <mergeCell ref="A2:N2"/>
    <mergeCell ref="L3:N3"/>
    <mergeCell ref="B4:J4"/>
    <mergeCell ref="K4:N4"/>
    <mergeCell ref="B5:C5"/>
    <mergeCell ref="I5:J5"/>
    <mergeCell ref="M5:N5"/>
    <mergeCell ref="A4:A6"/>
    <mergeCell ref="D5:D6"/>
    <mergeCell ref="E5:E6"/>
    <mergeCell ref="F5:F6"/>
    <mergeCell ref="G5:G6"/>
    <mergeCell ref="H5:H6"/>
    <mergeCell ref="K5:K6"/>
    <mergeCell ref="L5:L6"/>
  </mergeCells>
  <pageMargins left="0.357638888888889" right="0.357638888888889" top="0.409027777777778" bottom="0.60625" header="0.5" footer="0.5"/>
  <pageSetup paperSize="9" firstPageNumber="24" orientation="landscape" useFirstPageNumber="1"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6"/>
  <sheetViews>
    <sheetView workbookViewId="0">
      <pane ySplit="5" topLeftCell="A74" activePane="bottomLeft" state="frozen"/>
      <selection/>
      <selection pane="bottomLeft" activeCell="J80" sqref="J80"/>
    </sheetView>
  </sheetViews>
  <sheetFormatPr defaultColWidth="8" defaultRowHeight="14.4" outlineLevelCol="5"/>
  <cols>
    <col min="1" max="1" width="41.8796296296296" style="333" customWidth="1"/>
    <col min="2" max="2" width="19.8796296296296" style="333" customWidth="1"/>
    <col min="3" max="3" width="18.75" style="335" customWidth="1"/>
    <col min="4" max="4" width="13.5" style="333" customWidth="1"/>
    <col min="5" max="5" width="14.1296296296296" style="333" customWidth="1"/>
    <col min="6" max="6" width="21.25" style="333" customWidth="1"/>
    <col min="7" max="16376" width="8" style="333"/>
  </cols>
  <sheetData>
    <row r="1" s="333" customFormat="1" ht="17" customHeight="1" spans="1:3">
      <c r="A1" s="86" t="s">
        <v>163</v>
      </c>
      <c r="C1" s="335"/>
    </row>
    <row r="2" s="333" customFormat="1" ht="25" customHeight="1" spans="1:6">
      <c r="A2" s="336" t="s">
        <v>164</v>
      </c>
      <c r="B2" s="336"/>
      <c r="C2" s="336"/>
      <c r="D2" s="336"/>
      <c r="E2" s="336"/>
      <c r="F2" s="336"/>
    </row>
    <row r="3" s="333" customFormat="1" ht="17" customHeight="1" spans="1:6">
      <c r="A3" s="337"/>
      <c r="B3" s="337"/>
      <c r="C3" s="338"/>
      <c r="D3" s="337"/>
      <c r="F3" s="339" t="s">
        <v>2</v>
      </c>
    </row>
    <row r="4" s="333" customFormat="1" ht="32.25" customHeight="1" spans="1:6">
      <c r="A4" s="340" t="s">
        <v>165</v>
      </c>
      <c r="B4" s="341" t="s">
        <v>166</v>
      </c>
      <c r="C4" s="341" t="s">
        <v>167</v>
      </c>
      <c r="D4" s="342" t="s">
        <v>168</v>
      </c>
      <c r="E4" s="343"/>
      <c r="F4" s="344" t="s">
        <v>169</v>
      </c>
    </row>
    <row r="5" s="333" customFormat="1" ht="19" customHeight="1" spans="1:6">
      <c r="A5" s="345"/>
      <c r="B5" s="346"/>
      <c r="C5" s="347"/>
      <c r="D5" s="347" t="s">
        <v>14</v>
      </c>
      <c r="E5" s="347" t="s">
        <v>15</v>
      </c>
      <c r="F5" s="347"/>
    </row>
    <row r="6" s="334" customFormat="1" ht="18" customHeight="1" spans="1:6">
      <c r="A6" s="348" t="s">
        <v>17</v>
      </c>
      <c r="B6" s="349">
        <f>SUM(B7,B17,B20,B31:B42)</f>
        <v>18823</v>
      </c>
      <c r="C6" s="349">
        <f>SUM(C7,C17,C20,C31:C42)</f>
        <v>18535</v>
      </c>
      <c r="D6" s="349">
        <f t="shared" ref="D6:D20" si="0">SUM(C6-B6)</f>
        <v>-288</v>
      </c>
      <c r="E6" s="350">
        <f t="shared" ref="E6:E16" si="1">SUM(D6/B6)</f>
        <v>-0.0153004303246029</v>
      </c>
      <c r="F6" s="351"/>
    </row>
    <row r="7" s="334" customFormat="1" ht="18" customHeight="1" spans="1:6">
      <c r="A7" s="352" t="s">
        <v>170</v>
      </c>
      <c r="B7" s="353">
        <f>SUM(B8:B16)</f>
        <v>6967</v>
      </c>
      <c r="C7" s="353">
        <f>SUM(C8:C16)</f>
        <v>7584</v>
      </c>
      <c r="D7" s="354">
        <f t="shared" si="0"/>
        <v>617</v>
      </c>
      <c r="E7" s="355">
        <f t="shared" si="1"/>
        <v>0.0885603559638295</v>
      </c>
      <c r="F7" s="351"/>
    </row>
    <row r="8" s="334" customFormat="1" ht="18" customHeight="1" spans="1:6">
      <c r="A8" s="356" t="s">
        <v>171</v>
      </c>
      <c r="B8" s="353">
        <v>346</v>
      </c>
      <c r="C8" s="353">
        <v>400</v>
      </c>
      <c r="D8" s="354">
        <f t="shared" si="0"/>
        <v>54</v>
      </c>
      <c r="E8" s="355">
        <f t="shared" si="1"/>
        <v>0.15606936416185</v>
      </c>
      <c r="F8" s="351"/>
    </row>
    <row r="9" s="334" customFormat="1" ht="18" customHeight="1" spans="1:6">
      <c r="A9" s="356" t="s">
        <v>172</v>
      </c>
      <c r="B9" s="353"/>
      <c r="C9" s="353"/>
      <c r="D9" s="354">
        <f t="shared" si="0"/>
        <v>0</v>
      </c>
      <c r="E9" s="355"/>
      <c r="F9" s="351"/>
    </row>
    <row r="10" s="334" customFormat="1" ht="18" customHeight="1" spans="1:6">
      <c r="A10" s="356" t="s">
        <v>173</v>
      </c>
      <c r="B10" s="353">
        <v>1880</v>
      </c>
      <c r="C10" s="353">
        <v>1900</v>
      </c>
      <c r="D10" s="354">
        <f t="shared" si="0"/>
        <v>20</v>
      </c>
      <c r="E10" s="355">
        <f t="shared" si="1"/>
        <v>0.0106382978723404</v>
      </c>
      <c r="F10" s="351"/>
    </row>
    <row r="11" s="334" customFormat="1" ht="18" customHeight="1" spans="1:6">
      <c r="A11" s="356" t="s">
        <v>174</v>
      </c>
      <c r="B11" s="353">
        <v>8</v>
      </c>
      <c r="C11" s="353">
        <v>10</v>
      </c>
      <c r="D11" s="354">
        <f t="shared" si="0"/>
        <v>2</v>
      </c>
      <c r="E11" s="355">
        <f t="shared" si="1"/>
        <v>0.25</v>
      </c>
      <c r="F11" s="351"/>
    </row>
    <row r="12" s="334" customFormat="1" ht="18" customHeight="1" spans="1:6">
      <c r="A12" s="356" t="s">
        <v>175</v>
      </c>
      <c r="B12" s="353">
        <v>719</v>
      </c>
      <c r="C12" s="353">
        <v>834</v>
      </c>
      <c r="D12" s="354">
        <f t="shared" si="0"/>
        <v>115</v>
      </c>
      <c r="E12" s="355">
        <f t="shared" si="1"/>
        <v>0.159944367176634</v>
      </c>
      <c r="F12" s="351"/>
    </row>
    <row r="13" s="334" customFormat="1" ht="18" customHeight="1" spans="1:6">
      <c r="A13" s="356" t="s">
        <v>176</v>
      </c>
      <c r="B13" s="353">
        <f>104+45</f>
        <v>149</v>
      </c>
      <c r="C13" s="353">
        <v>120</v>
      </c>
      <c r="D13" s="354">
        <f t="shared" si="0"/>
        <v>-29</v>
      </c>
      <c r="E13" s="355">
        <f t="shared" si="1"/>
        <v>-0.194630872483221</v>
      </c>
      <c r="F13" s="351"/>
    </row>
    <row r="14" s="334" customFormat="1" ht="18" customHeight="1" spans="1:6">
      <c r="A14" s="356" t="s">
        <v>177</v>
      </c>
      <c r="B14" s="353">
        <v>15</v>
      </c>
      <c r="C14" s="353"/>
      <c r="D14" s="354">
        <f t="shared" si="0"/>
        <v>-15</v>
      </c>
      <c r="E14" s="355">
        <f t="shared" si="1"/>
        <v>-1</v>
      </c>
      <c r="F14" s="351"/>
    </row>
    <row r="15" s="334" customFormat="1" ht="18" customHeight="1" spans="1:6">
      <c r="A15" s="356" t="s">
        <v>178</v>
      </c>
      <c r="B15" s="353">
        <v>-403</v>
      </c>
      <c r="C15" s="353"/>
      <c r="D15" s="354">
        <f t="shared" si="0"/>
        <v>403</v>
      </c>
      <c r="E15" s="355">
        <f t="shared" si="1"/>
        <v>-1</v>
      </c>
      <c r="F15" s="351"/>
    </row>
    <row r="16" s="334" customFormat="1" ht="18" customHeight="1" spans="1:6">
      <c r="A16" s="356" t="s">
        <v>179</v>
      </c>
      <c r="B16" s="353">
        <v>4253</v>
      </c>
      <c r="C16" s="353">
        <v>4320</v>
      </c>
      <c r="D16" s="354">
        <f t="shared" si="0"/>
        <v>67</v>
      </c>
      <c r="E16" s="355">
        <f t="shared" si="1"/>
        <v>0.0157535857042088</v>
      </c>
      <c r="F16" s="351"/>
    </row>
    <row r="17" s="334" customFormat="1" ht="18" customHeight="1" spans="1:6">
      <c r="A17" s="356" t="s">
        <v>180</v>
      </c>
      <c r="B17" s="353">
        <f>SUM(B18:B19)</f>
        <v>0</v>
      </c>
      <c r="C17" s="353">
        <f>SUM(C18:C19)</f>
        <v>0</v>
      </c>
      <c r="D17" s="354">
        <f t="shared" si="0"/>
        <v>0</v>
      </c>
      <c r="E17" s="355"/>
      <c r="F17" s="357"/>
    </row>
    <row r="18" s="334" customFormat="1" ht="18" customHeight="1" spans="1:6">
      <c r="A18" s="351" t="s">
        <v>181</v>
      </c>
      <c r="B18" s="353"/>
      <c r="C18" s="353"/>
      <c r="D18" s="354">
        <f t="shared" si="0"/>
        <v>0</v>
      </c>
      <c r="E18" s="355"/>
      <c r="F18" s="351"/>
    </row>
    <row r="19" s="334" customFormat="1" ht="18" customHeight="1" spans="1:6">
      <c r="A19" s="351" t="s">
        <v>182</v>
      </c>
      <c r="B19" s="353"/>
      <c r="C19" s="353"/>
      <c r="D19" s="354">
        <f t="shared" si="0"/>
        <v>0</v>
      </c>
      <c r="E19" s="355"/>
      <c r="F19" s="351"/>
    </row>
    <row r="20" s="334" customFormat="1" ht="18" customHeight="1" spans="1:6">
      <c r="A20" s="351" t="s">
        <v>183</v>
      </c>
      <c r="B20" s="353">
        <f>SUM(B21:B30)</f>
        <v>818</v>
      </c>
      <c r="C20" s="358">
        <f>SUM(C21:C30)</f>
        <v>1110</v>
      </c>
      <c r="D20" s="354">
        <f t="shared" si="0"/>
        <v>292</v>
      </c>
      <c r="E20" s="355">
        <f t="shared" ref="E20:E24" si="2">SUM(D20/B20)</f>
        <v>0.356968215158924</v>
      </c>
      <c r="F20" s="357"/>
    </row>
    <row r="21" s="334" customFormat="1" ht="18" customHeight="1" spans="1:6">
      <c r="A21" s="351" t="s">
        <v>184</v>
      </c>
      <c r="B21" s="353"/>
      <c r="C21" s="358"/>
      <c r="D21" s="354"/>
      <c r="E21" s="355"/>
      <c r="F21" s="357"/>
    </row>
    <row r="22" s="334" customFormat="1" ht="18" customHeight="1" spans="1:6">
      <c r="A22" s="356" t="s">
        <v>185</v>
      </c>
      <c r="B22" s="353">
        <v>13</v>
      </c>
      <c r="C22" s="358">
        <v>15</v>
      </c>
      <c r="D22" s="354">
        <f t="shared" ref="D22:D63" si="3">SUM(C22-B22)</f>
        <v>2</v>
      </c>
      <c r="E22" s="355">
        <f t="shared" si="2"/>
        <v>0.153846153846154</v>
      </c>
      <c r="F22" s="351"/>
    </row>
    <row r="23" s="334" customFormat="1" ht="18" customHeight="1" spans="1:6">
      <c r="A23" s="356" t="s">
        <v>186</v>
      </c>
      <c r="B23" s="353">
        <v>171</v>
      </c>
      <c r="C23" s="358">
        <v>200</v>
      </c>
      <c r="D23" s="354">
        <f t="shared" si="3"/>
        <v>29</v>
      </c>
      <c r="E23" s="355">
        <f t="shared" si="2"/>
        <v>0.169590643274854</v>
      </c>
      <c r="F23" s="351"/>
    </row>
    <row r="24" s="334" customFormat="1" ht="18" customHeight="1" spans="1:6">
      <c r="A24" s="356" t="s">
        <v>187</v>
      </c>
      <c r="B24" s="353">
        <f>487+3</f>
        <v>490</v>
      </c>
      <c r="C24" s="358">
        <v>645</v>
      </c>
      <c r="D24" s="354">
        <f t="shared" si="3"/>
        <v>155</v>
      </c>
      <c r="E24" s="355">
        <f t="shared" si="2"/>
        <v>0.316326530612245</v>
      </c>
      <c r="F24" s="351"/>
    </row>
    <row r="25" s="334" customFormat="1" ht="18" customHeight="1" spans="1:6">
      <c r="A25" s="356" t="s">
        <v>188</v>
      </c>
      <c r="B25" s="353"/>
      <c r="C25" s="358"/>
      <c r="D25" s="354">
        <f t="shared" si="3"/>
        <v>0</v>
      </c>
      <c r="E25" s="355"/>
      <c r="F25" s="351"/>
    </row>
    <row r="26" s="334" customFormat="1" ht="18" customHeight="1" spans="1:6">
      <c r="A26" s="359" t="s">
        <v>189</v>
      </c>
      <c r="B26" s="353"/>
      <c r="C26" s="358"/>
      <c r="D26" s="354">
        <f t="shared" si="3"/>
        <v>0</v>
      </c>
      <c r="E26" s="355"/>
      <c r="F26" s="351"/>
    </row>
    <row r="27" s="334" customFormat="1" ht="18" customHeight="1" spans="1:6">
      <c r="A27" s="356" t="s">
        <v>190</v>
      </c>
      <c r="B27" s="353">
        <v>151</v>
      </c>
      <c r="C27" s="358">
        <v>250</v>
      </c>
      <c r="D27" s="354">
        <f t="shared" si="3"/>
        <v>99</v>
      </c>
      <c r="E27" s="355">
        <f t="shared" ref="E27:E41" si="4">SUM(D27/B27)</f>
        <v>0.655629139072848</v>
      </c>
      <c r="F27" s="351"/>
    </row>
    <row r="28" s="334" customFormat="1" ht="18" customHeight="1" spans="1:6">
      <c r="A28" s="356" t="s">
        <v>191</v>
      </c>
      <c r="B28" s="353"/>
      <c r="C28" s="358"/>
      <c r="D28" s="354">
        <f t="shared" si="3"/>
        <v>0</v>
      </c>
      <c r="E28" s="355" t="e">
        <f t="shared" si="4"/>
        <v>#DIV/0!</v>
      </c>
      <c r="F28" s="351"/>
    </row>
    <row r="29" s="334" customFormat="1" ht="18" customHeight="1" spans="1:6">
      <c r="A29" s="360" t="s">
        <v>192</v>
      </c>
      <c r="B29" s="353"/>
      <c r="C29" s="358"/>
      <c r="D29" s="354">
        <f t="shared" si="3"/>
        <v>0</v>
      </c>
      <c r="E29" s="355"/>
      <c r="F29" s="351"/>
    </row>
    <row r="30" s="334" customFormat="1" ht="18" customHeight="1" spans="1:6">
      <c r="A30" s="356" t="s">
        <v>193</v>
      </c>
      <c r="B30" s="361">
        <v>-7</v>
      </c>
      <c r="C30" s="361"/>
      <c r="D30" s="362">
        <f t="shared" si="3"/>
        <v>7</v>
      </c>
      <c r="E30" s="355"/>
      <c r="F30" s="351"/>
    </row>
    <row r="31" s="334" customFormat="1" ht="18" customHeight="1" spans="1:6">
      <c r="A31" s="356" t="s">
        <v>194</v>
      </c>
      <c r="B31" s="363">
        <v>706</v>
      </c>
      <c r="C31" s="364">
        <v>500</v>
      </c>
      <c r="D31" s="362">
        <f t="shared" si="3"/>
        <v>-206</v>
      </c>
      <c r="E31" s="355">
        <f t="shared" si="4"/>
        <v>-0.291784702549575</v>
      </c>
      <c r="F31" s="351"/>
    </row>
    <row r="32" s="334" customFormat="1" ht="18" customHeight="1" spans="1:6">
      <c r="A32" s="351" t="s">
        <v>195</v>
      </c>
      <c r="B32" s="365">
        <v>1409</v>
      </c>
      <c r="C32" s="366">
        <v>1300</v>
      </c>
      <c r="D32" s="362">
        <f t="shared" si="3"/>
        <v>-109</v>
      </c>
      <c r="E32" s="355">
        <f t="shared" si="4"/>
        <v>-0.0773598296664301</v>
      </c>
      <c r="F32" s="351"/>
    </row>
    <row r="33" s="334" customFormat="1" ht="18" customHeight="1" spans="1:6">
      <c r="A33" s="351" t="s">
        <v>196</v>
      </c>
      <c r="B33" s="365">
        <v>942</v>
      </c>
      <c r="C33" s="366">
        <v>1000</v>
      </c>
      <c r="D33" s="362">
        <f t="shared" si="3"/>
        <v>58</v>
      </c>
      <c r="E33" s="355">
        <f t="shared" si="4"/>
        <v>0.0615711252653928</v>
      </c>
      <c r="F33" s="357"/>
    </row>
    <row r="34" s="334" customFormat="1" ht="18" customHeight="1" spans="1:6">
      <c r="A34" s="351" t="s">
        <v>197</v>
      </c>
      <c r="B34" s="365">
        <v>370</v>
      </c>
      <c r="C34" s="366">
        <v>300</v>
      </c>
      <c r="D34" s="362">
        <f t="shared" si="3"/>
        <v>-70</v>
      </c>
      <c r="E34" s="355">
        <f t="shared" si="4"/>
        <v>-0.189189189189189</v>
      </c>
      <c r="F34" s="351"/>
    </row>
    <row r="35" s="334" customFormat="1" ht="18" customHeight="1" spans="1:6">
      <c r="A35" s="351" t="s">
        <v>198</v>
      </c>
      <c r="B35" s="367">
        <v>356</v>
      </c>
      <c r="C35" s="366">
        <v>300</v>
      </c>
      <c r="D35" s="362">
        <f t="shared" si="3"/>
        <v>-56</v>
      </c>
      <c r="E35" s="355">
        <f t="shared" si="4"/>
        <v>-0.157303370786517</v>
      </c>
      <c r="F35" s="351"/>
    </row>
    <row r="36" s="334" customFormat="1" ht="18" customHeight="1" spans="1:6">
      <c r="A36" s="351" t="s">
        <v>199</v>
      </c>
      <c r="B36" s="367">
        <v>173</v>
      </c>
      <c r="C36" s="366">
        <v>200</v>
      </c>
      <c r="D36" s="362">
        <f t="shared" si="3"/>
        <v>27</v>
      </c>
      <c r="E36" s="355">
        <f t="shared" si="4"/>
        <v>0.15606936416185</v>
      </c>
      <c r="F36" s="351"/>
    </row>
    <row r="37" s="334" customFormat="1" ht="18" customHeight="1" spans="1:6">
      <c r="A37" s="351" t="s">
        <v>200</v>
      </c>
      <c r="B37" s="367">
        <v>1410</v>
      </c>
      <c r="C37" s="366">
        <v>1500</v>
      </c>
      <c r="D37" s="362">
        <f t="shared" si="3"/>
        <v>90</v>
      </c>
      <c r="E37" s="355">
        <f t="shared" si="4"/>
        <v>0.0638297872340425</v>
      </c>
      <c r="F37" s="351"/>
    </row>
    <row r="38" s="334" customFormat="1" ht="18" customHeight="1" spans="1:6">
      <c r="A38" s="351" t="s">
        <v>201</v>
      </c>
      <c r="B38" s="367">
        <v>471</v>
      </c>
      <c r="C38" s="366">
        <v>450</v>
      </c>
      <c r="D38" s="362">
        <f t="shared" si="3"/>
        <v>-21</v>
      </c>
      <c r="E38" s="355">
        <f t="shared" si="4"/>
        <v>-0.0445859872611465</v>
      </c>
      <c r="F38" s="351"/>
    </row>
    <row r="39" s="334" customFormat="1" ht="18" customHeight="1" spans="1:6">
      <c r="A39" s="351" t="s">
        <v>202</v>
      </c>
      <c r="B39" s="367">
        <v>3108</v>
      </c>
      <c r="C39" s="366">
        <v>3000</v>
      </c>
      <c r="D39" s="362">
        <f t="shared" si="3"/>
        <v>-108</v>
      </c>
      <c r="E39" s="355">
        <f t="shared" si="4"/>
        <v>-0.0347490347490347</v>
      </c>
      <c r="F39" s="351"/>
    </row>
    <row r="40" s="334" customFormat="1" ht="18" customHeight="1" spans="1:6">
      <c r="A40" s="351" t="s">
        <v>203</v>
      </c>
      <c r="B40" s="367">
        <v>2015</v>
      </c>
      <c r="C40" s="366">
        <v>1200</v>
      </c>
      <c r="D40" s="362">
        <f t="shared" si="3"/>
        <v>-815</v>
      </c>
      <c r="E40" s="355">
        <f t="shared" si="4"/>
        <v>-0.404466501240695</v>
      </c>
      <c r="F40" s="351"/>
    </row>
    <row r="41" s="334" customFormat="1" ht="18" customHeight="1" spans="1:6">
      <c r="A41" s="351" t="s">
        <v>204</v>
      </c>
      <c r="B41" s="368">
        <v>78</v>
      </c>
      <c r="C41" s="369">
        <v>91</v>
      </c>
      <c r="D41" s="362">
        <f t="shared" si="3"/>
        <v>13</v>
      </c>
      <c r="E41" s="355">
        <f t="shared" si="4"/>
        <v>0.166666666666667</v>
      </c>
      <c r="F41" s="351"/>
    </row>
    <row r="42" s="334" customFormat="1" ht="18" customHeight="1" spans="1:6">
      <c r="A42" s="351" t="s">
        <v>205</v>
      </c>
      <c r="B42" s="361"/>
      <c r="C42" s="361"/>
      <c r="D42" s="362">
        <f t="shared" si="3"/>
        <v>0</v>
      </c>
      <c r="E42" s="355"/>
      <c r="F42" s="370"/>
    </row>
    <row r="43" s="334" customFormat="1" ht="18" customHeight="1" spans="1:6">
      <c r="A43" s="371" t="s">
        <v>34</v>
      </c>
      <c r="B43" s="372">
        <f>SUM(B44,B57,B78,B88,B92:B95)</f>
        <v>29625</v>
      </c>
      <c r="C43" s="372">
        <f>SUM(C44,C57,C78,C88,C92:C95)</f>
        <v>32310</v>
      </c>
      <c r="D43" s="373">
        <f t="shared" si="3"/>
        <v>2685</v>
      </c>
      <c r="E43" s="350">
        <f t="shared" ref="E43:E47" si="5">SUM(D43/B43)</f>
        <v>0.0906329113924051</v>
      </c>
      <c r="F43" s="370"/>
    </row>
    <row r="44" s="334" customFormat="1" ht="18" customHeight="1" spans="1:6">
      <c r="A44" s="351" t="s">
        <v>206</v>
      </c>
      <c r="B44" s="353">
        <f>SUM(B45:B56)</f>
        <v>1469</v>
      </c>
      <c r="C44" s="353">
        <f>SUM(C45:C56)</f>
        <v>1530</v>
      </c>
      <c r="D44" s="362">
        <f t="shared" si="3"/>
        <v>61</v>
      </c>
      <c r="E44" s="355">
        <f t="shared" si="5"/>
        <v>0.0415248468345813</v>
      </c>
      <c r="F44" s="351"/>
    </row>
    <row r="45" s="334" customFormat="1" ht="18" customHeight="1" spans="1:6">
      <c r="A45" s="351" t="s">
        <v>207</v>
      </c>
      <c r="B45" s="353"/>
      <c r="C45" s="374"/>
      <c r="D45" s="362">
        <f t="shared" si="3"/>
        <v>0</v>
      </c>
      <c r="E45" s="355"/>
      <c r="F45" s="351"/>
    </row>
    <row r="46" s="334" customFormat="1" ht="18" customHeight="1" spans="1:6">
      <c r="A46" s="351" t="s">
        <v>208</v>
      </c>
      <c r="B46" s="353"/>
      <c r="C46" s="374"/>
      <c r="D46" s="362">
        <f t="shared" si="3"/>
        <v>0</v>
      </c>
      <c r="E46" s="355"/>
      <c r="F46" s="351"/>
    </row>
    <row r="47" s="334" customFormat="1" ht="18" customHeight="1" spans="1:6">
      <c r="A47" s="351" t="s">
        <v>209</v>
      </c>
      <c r="B47" s="353">
        <v>675</v>
      </c>
      <c r="C47" s="116">
        <v>650</v>
      </c>
      <c r="D47" s="354">
        <f t="shared" si="3"/>
        <v>-25</v>
      </c>
      <c r="E47" s="355">
        <f t="shared" si="5"/>
        <v>-0.037037037037037</v>
      </c>
      <c r="F47" s="351"/>
    </row>
    <row r="48" s="334" customFormat="1" ht="18" customHeight="1" spans="1:6">
      <c r="A48" s="351" t="s">
        <v>210</v>
      </c>
      <c r="B48" s="353"/>
      <c r="C48" s="116"/>
      <c r="D48" s="354">
        <f t="shared" si="3"/>
        <v>0</v>
      </c>
      <c r="E48" s="355"/>
      <c r="F48" s="351"/>
    </row>
    <row r="49" s="334" customFormat="1" ht="18" customHeight="1" spans="1:6">
      <c r="A49" s="375" t="s">
        <v>211</v>
      </c>
      <c r="B49" s="353">
        <v>450</v>
      </c>
      <c r="C49" s="116">
        <v>460</v>
      </c>
      <c r="D49" s="354">
        <f t="shared" si="3"/>
        <v>10</v>
      </c>
      <c r="E49" s="355">
        <f>SUM(D49/B49)</f>
        <v>0.0222222222222222</v>
      </c>
      <c r="F49" s="351"/>
    </row>
    <row r="50" s="334" customFormat="1" ht="18" customHeight="1" spans="1:6">
      <c r="A50" s="375" t="s">
        <v>212</v>
      </c>
      <c r="B50" s="353"/>
      <c r="C50" s="116"/>
      <c r="D50" s="354">
        <f t="shared" si="3"/>
        <v>0</v>
      </c>
      <c r="E50" s="355"/>
      <c r="F50" s="351"/>
    </row>
    <row r="51" s="334" customFormat="1" ht="18" customHeight="1" spans="1:6">
      <c r="A51" s="375" t="s">
        <v>213</v>
      </c>
      <c r="B51" s="353">
        <v>298</v>
      </c>
      <c r="C51" s="116">
        <v>420</v>
      </c>
      <c r="D51" s="354">
        <f t="shared" si="3"/>
        <v>122</v>
      </c>
      <c r="E51" s="355"/>
      <c r="F51" s="351"/>
    </row>
    <row r="52" s="334" customFormat="1" ht="18" customHeight="1" spans="1:6">
      <c r="A52" s="375" t="s">
        <v>214</v>
      </c>
      <c r="B52" s="353"/>
      <c r="C52" s="116"/>
      <c r="D52" s="354">
        <f t="shared" si="3"/>
        <v>0</v>
      </c>
      <c r="E52" s="355"/>
      <c r="F52" s="351"/>
    </row>
    <row r="53" s="334" customFormat="1" ht="18" customHeight="1" spans="1:6">
      <c r="A53" s="375" t="s">
        <v>215</v>
      </c>
      <c r="B53" s="353"/>
      <c r="C53" s="116"/>
      <c r="D53" s="354">
        <f t="shared" si="3"/>
        <v>0</v>
      </c>
      <c r="E53" s="355"/>
      <c r="F53" s="351"/>
    </row>
    <row r="54" s="334" customFormat="1" ht="18" customHeight="1" spans="1:6">
      <c r="A54" s="375" t="s">
        <v>216</v>
      </c>
      <c r="B54" s="353"/>
      <c r="C54" s="116"/>
      <c r="D54" s="354">
        <f t="shared" si="3"/>
        <v>0</v>
      </c>
      <c r="E54" s="355"/>
      <c r="F54" s="351"/>
    </row>
    <row r="55" s="334" customFormat="1" ht="18" customHeight="1" spans="1:6">
      <c r="A55" s="375" t="s">
        <v>217</v>
      </c>
      <c r="B55" s="353">
        <v>46</v>
      </c>
      <c r="C55" s="116"/>
      <c r="D55" s="354">
        <f t="shared" si="3"/>
        <v>-46</v>
      </c>
      <c r="E55" s="355"/>
      <c r="F55" s="351"/>
    </row>
    <row r="56" s="334" customFormat="1" ht="18" customHeight="1" spans="1:6">
      <c r="A56" s="375" t="s">
        <v>218</v>
      </c>
      <c r="B56" s="353"/>
      <c r="C56" s="116"/>
      <c r="D56" s="354">
        <f t="shared" si="3"/>
        <v>0</v>
      </c>
      <c r="E56" s="355" t="e">
        <f t="shared" ref="E56:E59" si="6">SUM(D56/B56)</f>
        <v>#DIV/0!</v>
      </c>
      <c r="F56" s="351"/>
    </row>
    <row r="57" s="334" customFormat="1" ht="18" customHeight="1" spans="1:6">
      <c r="A57" s="351" t="s">
        <v>219</v>
      </c>
      <c r="B57" s="353">
        <f>SUM(B58:B77)</f>
        <v>821</v>
      </c>
      <c r="C57" s="353">
        <f>SUM(C58:C77)</f>
        <v>2980</v>
      </c>
      <c r="D57" s="354">
        <f t="shared" si="3"/>
        <v>2159</v>
      </c>
      <c r="E57" s="355">
        <f t="shared" si="6"/>
        <v>2.62971985383678</v>
      </c>
      <c r="F57" s="351"/>
    </row>
    <row r="58" s="334" customFormat="1" ht="18" customHeight="1" spans="1:6">
      <c r="A58" s="351" t="s">
        <v>220</v>
      </c>
      <c r="B58" s="353">
        <v>93</v>
      </c>
      <c r="C58" s="353">
        <v>120</v>
      </c>
      <c r="D58" s="354">
        <f t="shared" si="3"/>
        <v>27</v>
      </c>
      <c r="E58" s="355">
        <f t="shared" si="6"/>
        <v>0.290322580645161</v>
      </c>
      <c r="F58" s="351"/>
    </row>
    <row r="59" s="334" customFormat="1" ht="18" customHeight="1" spans="1:6">
      <c r="A59" s="351" t="s">
        <v>221</v>
      </c>
      <c r="B59" s="353">
        <v>36</v>
      </c>
      <c r="C59" s="353">
        <v>50</v>
      </c>
      <c r="D59" s="354">
        <f t="shared" si="3"/>
        <v>14</v>
      </c>
      <c r="E59" s="355">
        <f t="shared" si="6"/>
        <v>0.388888888888889</v>
      </c>
      <c r="F59" s="351"/>
    </row>
    <row r="60" s="334" customFormat="1" ht="18" customHeight="1" spans="1:6">
      <c r="A60" s="351" t="s">
        <v>222</v>
      </c>
      <c r="B60" s="353">
        <v>31</v>
      </c>
      <c r="C60" s="353"/>
      <c r="D60" s="354"/>
      <c r="E60" s="355"/>
      <c r="F60" s="351"/>
    </row>
    <row r="61" s="334" customFormat="1" ht="18" customHeight="1" spans="1:6">
      <c r="A61" s="351" t="s">
        <v>223</v>
      </c>
      <c r="B61" s="353"/>
      <c r="C61" s="353"/>
      <c r="D61" s="354">
        <f>SUM(C61-B61)</f>
        <v>0</v>
      </c>
      <c r="E61" s="355"/>
      <c r="F61" s="351"/>
    </row>
    <row r="62" s="334" customFormat="1" ht="18" customHeight="1" spans="1:6">
      <c r="A62" s="351" t="s">
        <v>224</v>
      </c>
      <c r="B62" s="353"/>
      <c r="C62" s="353"/>
      <c r="D62" s="354">
        <f>SUM(C62-B62)</f>
        <v>0</v>
      </c>
      <c r="E62" s="355" t="e">
        <f t="shared" ref="E62:E64" si="7">SUM(D62/B62)</f>
        <v>#DIV/0!</v>
      </c>
      <c r="F62" s="351"/>
    </row>
    <row r="63" s="334" customFormat="1" ht="18" customHeight="1" spans="1:6">
      <c r="A63" s="351" t="s">
        <v>225</v>
      </c>
      <c r="B63" s="353">
        <v>268</v>
      </c>
      <c r="C63" s="353">
        <v>350</v>
      </c>
      <c r="D63" s="354">
        <f>SUM(C63-B63)</f>
        <v>82</v>
      </c>
      <c r="E63" s="355">
        <f t="shared" si="7"/>
        <v>0.305970149253731</v>
      </c>
      <c r="F63" s="351"/>
    </row>
    <row r="64" s="334" customFormat="1" ht="18" customHeight="1" spans="1:6">
      <c r="A64" s="351" t="s">
        <v>226</v>
      </c>
      <c r="B64" s="353"/>
      <c r="C64" s="353"/>
      <c r="D64" s="354">
        <f>SUM(C64-B64)</f>
        <v>0</v>
      </c>
      <c r="E64" s="355" t="e">
        <f t="shared" si="7"/>
        <v>#DIV/0!</v>
      </c>
      <c r="F64" s="351"/>
    </row>
    <row r="65" s="334" customFormat="1" ht="18" customHeight="1" spans="1:6">
      <c r="A65" s="351" t="s">
        <v>227</v>
      </c>
      <c r="B65" s="376">
        <v>50</v>
      </c>
      <c r="C65" s="376">
        <v>2080</v>
      </c>
      <c r="D65" s="377"/>
      <c r="E65" s="355"/>
      <c r="F65" s="351"/>
    </row>
    <row r="66" s="334" customFormat="1" ht="18" customHeight="1" spans="1:6">
      <c r="A66" s="351" t="s">
        <v>228</v>
      </c>
      <c r="B66" s="353">
        <v>46</v>
      </c>
      <c r="C66" s="353"/>
      <c r="D66" s="354">
        <f t="shared" ref="D66:D75" si="8">SUM(C66-B66)</f>
        <v>-46</v>
      </c>
      <c r="E66" s="355">
        <f t="shared" ref="E66:E70" si="9">SUM(D66/B66)</f>
        <v>-1</v>
      </c>
      <c r="F66" s="351"/>
    </row>
    <row r="67" s="334" customFormat="1" ht="18" customHeight="1" spans="1:6">
      <c r="A67" s="351" t="s">
        <v>229</v>
      </c>
      <c r="B67" s="353">
        <v>170</v>
      </c>
      <c r="C67" s="353">
        <v>220</v>
      </c>
      <c r="D67" s="354">
        <f t="shared" si="8"/>
        <v>50</v>
      </c>
      <c r="E67" s="355">
        <f t="shared" si="9"/>
        <v>0.294117647058824</v>
      </c>
      <c r="F67" s="351"/>
    </row>
    <row r="68" s="334" customFormat="1" ht="18" customHeight="1" spans="1:6">
      <c r="A68" s="351" t="s">
        <v>230</v>
      </c>
      <c r="B68" s="353"/>
      <c r="C68" s="353"/>
      <c r="D68" s="354"/>
      <c r="E68" s="355"/>
      <c r="F68" s="351"/>
    </row>
    <row r="69" s="334" customFormat="1" ht="18" customHeight="1" spans="1:6">
      <c r="A69" s="351" t="s">
        <v>231</v>
      </c>
      <c r="B69" s="353"/>
      <c r="C69" s="353"/>
      <c r="D69" s="354">
        <f t="shared" si="8"/>
        <v>0</v>
      </c>
      <c r="E69" s="355"/>
      <c r="F69" s="351"/>
    </row>
    <row r="70" s="334" customFormat="1" ht="18" customHeight="1" spans="1:6">
      <c r="A70" s="351" t="s">
        <v>232</v>
      </c>
      <c r="B70" s="353">
        <v>1</v>
      </c>
      <c r="C70" s="353"/>
      <c r="D70" s="354">
        <f t="shared" si="8"/>
        <v>-1</v>
      </c>
      <c r="E70" s="355">
        <f t="shared" si="9"/>
        <v>-1</v>
      </c>
      <c r="F70" s="351"/>
    </row>
    <row r="71" s="334" customFormat="1" ht="18" customHeight="1" spans="1:6">
      <c r="A71" s="351" t="s">
        <v>233</v>
      </c>
      <c r="B71" s="353"/>
      <c r="C71" s="353"/>
      <c r="D71" s="354">
        <f t="shared" si="8"/>
        <v>0</v>
      </c>
      <c r="E71" s="355"/>
      <c r="F71" s="351"/>
    </row>
    <row r="72" s="334" customFormat="1" ht="18" customHeight="1" spans="1:6">
      <c r="A72" s="351" t="s">
        <v>234</v>
      </c>
      <c r="B72" s="353">
        <v>105</v>
      </c>
      <c r="C72" s="353">
        <v>160</v>
      </c>
      <c r="D72" s="354">
        <f t="shared" si="8"/>
        <v>55</v>
      </c>
      <c r="E72" s="355">
        <f>SUM(D72/B72)</f>
        <v>0.523809523809524</v>
      </c>
      <c r="F72" s="351"/>
    </row>
    <row r="73" s="334" customFormat="1" ht="18" customHeight="1" spans="1:6">
      <c r="A73" s="351" t="s">
        <v>235</v>
      </c>
      <c r="B73" s="353">
        <v>21</v>
      </c>
      <c r="C73" s="353"/>
      <c r="D73" s="354">
        <f t="shared" si="8"/>
        <v>-21</v>
      </c>
      <c r="E73" s="355"/>
      <c r="F73" s="351"/>
    </row>
    <row r="74" s="334" customFormat="1" ht="18" customHeight="1" spans="1:6">
      <c r="A74" s="351" t="s">
        <v>236</v>
      </c>
      <c r="B74" s="353"/>
      <c r="C74" s="353"/>
      <c r="D74" s="354">
        <f t="shared" si="8"/>
        <v>0</v>
      </c>
      <c r="E74" s="355"/>
      <c r="F74" s="351"/>
    </row>
    <row r="75" s="334" customFormat="1" ht="18" customHeight="1" spans="1:6">
      <c r="A75" s="351" t="s">
        <v>237</v>
      </c>
      <c r="B75" s="353"/>
      <c r="C75" s="353"/>
      <c r="D75" s="354">
        <f t="shared" si="8"/>
        <v>0</v>
      </c>
      <c r="E75" s="355"/>
      <c r="F75" s="351"/>
    </row>
    <row r="76" s="334" customFormat="1" ht="18" customHeight="1" spans="1:6">
      <c r="A76" s="351" t="s">
        <v>238</v>
      </c>
      <c r="B76" s="353"/>
      <c r="C76" s="353"/>
      <c r="D76" s="354"/>
      <c r="E76" s="355"/>
      <c r="F76" s="351"/>
    </row>
    <row r="77" s="334" customFormat="1" ht="18" customHeight="1" spans="1:6">
      <c r="A77" s="351" t="s">
        <v>239</v>
      </c>
      <c r="B77" s="353"/>
      <c r="C77" s="353"/>
      <c r="D77" s="354">
        <f t="shared" ref="D77:D84" si="10">SUM(C77-B77)</f>
        <v>0</v>
      </c>
      <c r="E77" s="355"/>
      <c r="F77" s="351"/>
    </row>
    <row r="78" s="334" customFormat="1" ht="18" customHeight="1" spans="1:6">
      <c r="A78" s="351" t="s">
        <v>240</v>
      </c>
      <c r="B78" s="353">
        <f>SUM(B79:B87)</f>
        <v>1151</v>
      </c>
      <c r="C78" s="353">
        <f>SUM(C79:C87)</f>
        <v>1100</v>
      </c>
      <c r="D78" s="354">
        <f t="shared" si="10"/>
        <v>-51</v>
      </c>
      <c r="E78" s="355">
        <f t="shared" ref="E78:E83" si="11">SUM(D78/B78)</f>
        <v>-0.0443092962641182</v>
      </c>
      <c r="F78" s="351"/>
    </row>
    <row r="79" s="334" customFormat="1" ht="18" customHeight="1" spans="1:6">
      <c r="A79" s="351" t="s">
        <v>241</v>
      </c>
      <c r="B79" s="353">
        <v>468</v>
      </c>
      <c r="C79" s="353">
        <v>480</v>
      </c>
      <c r="D79" s="354">
        <f t="shared" si="10"/>
        <v>12</v>
      </c>
      <c r="E79" s="355">
        <f t="shared" si="11"/>
        <v>0.0256410256410256</v>
      </c>
      <c r="F79" s="351"/>
    </row>
    <row r="80" s="334" customFormat="1" ht="18" customHeight="1" spans="1:6">
      <c r="A80" s="351" t="s">
        <v>242</v>
      </c>
      <c r="B80" s="353"/>
      <c r="C80" s="353"/>
      <c r="D80" s="354">
        <f t="shared" si="10"/>
        <v>0</v>
      </c>
      <c r="E80" s="355"/>
      <c r="F80" s="351"/>
    </row>
    <row r="81" s="334" customFormat="1" ht="18" customHeight="1" spans="1:6">
      <c r="A81" s="351" t="s">
        <v>243</v>
      </c>
      <c r="B81" s="353">
        <v>200</v>
      </c>
      <c r="C81" s="353">
        <v>220</v>
      </c>
      <c r="D81" s="354">
        <f t="shared" si="10"/>
        <v>20</v>
      </c>
      <c r="E81" s="355"/>
      <c r="F81" s="351"/>
    </row>
    <row r="82" s="334" customFormat="1" ht="18" customHeight="1" spans="1:6">
      <c r="A82" s="351" t="s">
        <v>244</v>
      </c>
      <c r="B82" s="353">
        <v>5</v>
      </c>
      <c r="C82" s="353">
        <v>8</v>
      </c>
      <c r="D82" s="354">
        <f t="shared" si="10"/>
        <v>3</v>
      </c>
      <c r="E82" s="355">
        <f t="shared" si="11"/>
        <v>0.6</v>
      </c>
      <c r="F82" s="351"/>
    </row>
    <row r="83" s="334" customFormat="1" ht="18" customHeight="1" spans="1:6">
      <c r="A83" s="351" t="s">
        <v>245</v>
      </c>
      <c r="B83" s="353"/>
      <c r="C83" s="353"/>
      <c r="D83" s="354">
        <f t="shared" si="10"/>
        <v>0</v>
      </c>
      <c r="E83" s="355" t="e">
        <f t="shared" si="11"/>
        <v>#DIV/0!</v>
      </c>
      <c r="F83" s="351"/>
    </row>
    <row r="84" s="334" customFormat="1" ht="18" customHeight="1" spans="1:6">
      <c r="A84" s="351" t="s">
        <v>246</v>
      </c>
      <c r="B84" s="353"/>
      <c r="C84" s="353"/>
      <c r="D84" s="354">
        <f t="shared" si="10"/>
        <v>0</v>
      </c>
      <c r="E84" s="355"/>
      <c r="F84" s="351"/>
    </row>
    <row r="85" s="334" customFormat="1" ht="18" customHeight="1" spans="1:6">
      <c r="A85" s="351" t="s">
        <v>247</v>
      </c>
      <c r="B85" s="353"/>
      <c r="C85" s="353"/>
      <c r="D85" s="354"/>
      <c r="E85" s="355"/>
      <c r="F85" s="351"/>
    </row>
    <row r="86" s="334" customFormat="1" ht="18" customHeight="1" spans="1:6">
      <c r="A86" s="351" t="s">
        <v>248</v>
      </c>
      <c r="B86" s="353"/>
      <c r="C86" s="353"/>
      <c r="D86" s="354">
        <f t="shared" ref="D86:D92" si="12">SUM(C86-B86)</f>
        <v>0</v>
      </c>
      <c r="E86" s="355"/>
      <c r="F86" s="351"/>
    </row>
    <row r="87" s="334" customFormat="1" ht="18" customHeight="1" spans="1:6">
      <c r="A87" s="351" t="s">
        <v>249</v>
      </c>
      <c r="B87" s="353">
        <v>478</v>
      </c>
      <c r="C87" s="353">
        <v>392</v>
      </c>
      <c r="D87" s="354">
        <f t="shared" si="12"/>
        <v>-86</v>
      </c>
      <c r="E87" s="355">
        <f>SUM(D87/B87)</f>
        <v>-0.179916317991632</v>
      </c>
      <c r="F87" s="351"/>
    </row>
    <row r="88" s="334" customFormat="1" ht="18" customHeight="1" spans="1:6">
      <c r="A88" s="351" t="s">
        <v>250</v>
      </c>
      <c r="B88" s="353">
        <f>SUM(B89:B90,B91)</f>
        <v>0</v>
      </c>
      <c r="C88" s="353">
        <f>SUM(C89:C90,C91)</f>
        <v>40</v>
      </c>
      <c r="D88" s="354">
        <f t="shared" si="12"/>
        <v>40</v>
      </c>
      <c r="E88" s="355"/>
      <c r="F88" s="351"/>
    </row>
    <row r="89" s="334" customFormat="1" ht="18" customHeight="1" spans="1:6">
      <c r="A89" s="351" t="s">
        <v>251</v>
      </c>
      <c r="B89" s="353"/>
      <c r="C89" s="353">
        <v>40</v>
      </c>
      <c r="D89" s="354">
        <f t="shared" si="12"/>
        <v>40</v>
      </c>
      <c r="E89" s="355"/>
      <c r="F89" s="351"/>
    </row>
    <row r="90" s="334" customFormat="1" ht="18" customHeight="1" spans="1:6">
      <c r="A90" s="351" t="s">
        <v>252</v>
      </c>
      <c r="B90" s="353"/>
      <c r="C90" s="353"/>
      <c r="D90" s="354">
        <f t="shared" si="12"/>
        <v>0</v>
      </c>
      <c r="E90" s="355"/>
      <c r="F90" s="351"/>
    </row>
    <row r="91" s="334" customFormat="1" ht="18" customHeight="1" spans="1:6">
      <c r="A91" s="351" t="s">
        <v>253</v>
      </c>
      <c r="B91" s="353"/>
      <c r="C91" s="353"/>
      <c r="D91" s="354">
        <f t="shared" si="12"/>
        <v>0</v>
      </c>
      <c r="E91" s="355"/>
      <c r="F91" s="351"/>
    </row>
    <row r="92" s="334" customFormat="1" ht="18" customHeight="1" spans="1:6">
      <c r="A92" s="351" t="s">
        <v>254</v>
      </c>
      <c r="B92" s="353">
        <v>26095</v>
      </c>
      <c r="C92" s="353">
        <v>26560</v>
      </c>
      <c r="D92" s="354">
        <f t="shared" si="12"/>
        <v>465</v>
      </c>
      <c r="E92" s="355">
        <f t="shared" ref="E92:E102" si="13">SUM(D92/B92)</f>
        <v>0.0178195056524238</v>
      </c>
      <c r="F92" s="351"/>
    </row>
    <row r="93" s="334" customFormat="1" ht="18" customHeight="1" spans="1:6">
      <c r="A93" s="351" t="s">
        <v>255</v>
      </c>
      <c r="B93" s="353"/>
      <c r="C93" s="353"/>
      <c r="D93" s="354"/>
      <c r="E93" s="355"/>
      <c r="F93" s="351"/>
    </row>
    <row r="94" s="334" customFormat="1" ht="18" customHeight="1" spans="1:6">
      <c r="A94" s="351" t="s">
        <v>256</v>
      </c>
      <c r="B94" s="353">
        <v>73</v>
      </c>
      <c r="C94" s="353">
        <v>80</v>
      </c>
      <c r="D94" s="354">
        <f t="shared" ref="D94:D103" si="14">SUM(C94-B94)</f>
        <v>7</v>
      </c>
      <c r="E94" s="355">
        <f t="shared" si="13"/>
        <v>0.0958904109589041</v>
      </c>
      <c r="F94" s="351"/>
    </row>
    <row r="95" s="334" customFormat="1" ht="18" customHeight="1" spans="1:6">
      <c r="A95" s="351" t="s">
        <v>257</v>
      </c>
      <c r="B95" s="353">
        <v>16</v>
      </c>
      <c r="C95" s="353">
        <v>20</v>
      </c>
      <c r="D95" s="354">
        <f t="shared" si="14"/>
        <v>4</v>
      </c>
      <c r="E95" s="355">
        <f t="shared" si="13"/>
        <v>0.25</v>
      </c>
      <c r="F95" s="351"/>
    </row>
    <row r="96" s="334" customFormat="1" ht="18" customHeight="1" spans="1:6">
      <c r="A96" s="378" t="s">
        <v>258</v>
      </c>
      <c r="B96" s="372">
        <f>SUM(B6,B43)</f>
        <v>48448</v>
      </c>
      <c r="C96" s="372">
        <f>SUM(C6,C43)</f>
        <v>50845</v>
      </c>
      <c r="D96" s="349">
        <f t="shared" si="14"/>
        <v>2397</v>
      </c>
      <c r="E96" s="350">
        <f t="shared" si="13"/>
        <v>0.0494757265521797</v>
      </c>
      <c r="F96" s="351"/>
    </row>
    <row r="97" s="334" customFormat="1" ht="18" customHeight="1" spans="1:6">
      <c r="A97" s="378" t="s">
        <v>259</v>
      </c>
      <c r="B97" s="372">
        <f>SUM(B98:B99)</f>
        <v>11408</v>
      </c>
      <c r="C97" s="372">
        <f>SUM(C98:C99)</f>
        <v>12260</v>
      </c>
      <c r="D97" s="349">
        <f t="shared" si="14"/>
        <v>852</v>
      </c>
      <c r="E97" s="350">
        <f t="shared" si="13"/>
        <v>0.0746844319775596</v>
      </c>
      <c r="F97" s="351"/>
    </row>
    <row r="98" s="334" customFormat="1" ht="18" customHeight="1" spans="1:6">
      <c r="A98" s="356" t="s">
        <v>260</v>
      </c>
      <c r="B98" s="353">
        <v>11402</v>
      </c>
      <c r="C98" s="353">
        <v>12250</v>
      </c>
      <c r="D98" s="354">
        <f t="shared" si="14"/>
        <v>848</v>
      </c>
      <c r="E98" s="355">
        <f t="shared" si="13"/>
        <v>0.0743729170320996</v>
      </c>
      <c r="F98" s="351"/>
    </row>
    <row r="99" s="334" customFormat="1" ht="18" customHeight="1" spans="1:6">
      <c r="A99" s="356" t="s">
        <v>261</v>
      </c>
      <c r="B99" s="353">
        <v>6</v>
      </c>
      <c r="C99" s="353">
        <v>10</v>
      </c>
      <c r="D99" s="354">
        <f t="shared" si="14"/>
        <v>4</v>
      </c>
      <c r="E99" s="355">
        <f t="shared" si="13"/>
        <v>0.666666666666667</v>
      </c>
      <c r="F99" s="351"/>
    </row>
    <row r="100" s="334" customFormat="1" ht="18" customHeight="1" spans="1:6">
      <c r="A100" s="378" t="s">
        <v>262</v>
      </c>
      <c r="B100" s="372">
        <f>SUM(B101:B102)</f>
        <v>3449</v>
      </c>
      <c r="C100" s="372">
        <f>SUM(C101:C102)</f>
        <v>3420</v>
      </c>
      <c r="D100" s="349">
        <f t="shared" si="14"/>
        <v>-29</v>
      </c>
      <c r="E100" s="350">
        <f t="shared" si="13"/>
        <v>-0.00840823427080313</v>
      </c>
      <c r="F100" s="351"/>
    </row>
    <row r="101" s="334" customFormat="1" ht="18" customHeight="1" spans="1:6">
      <c r="A101" s="359" t="s">
        <v>263</v>
      </c>
      <c r="B101" s="353">
        <v>1753</v>
      </c>
      <c r="C101" s="353">
        <v>2220</v>
      </c>
      <c r="D101" s="354">
        <f t="shared" si="14"/>
        <v>467</v>
      </c>
      <c r="E101" s="355">
        <f t="shared" si="13"/>
        <v>0.266400456360525</v>
      </c>
      <c r="F101" s="351"/>
    </row>
    <row r="102" s="334" customFormat="1" ht="18" customHeight="1" spans="1:6">
      <c r="A102" s="359" t="s">
        <v>264</v>
      </c>
      <c r="B102" s="353">
        <v>1696</v>
      </c>
      <c r="C102" s="353">
        <v>1200</v>
      </c>
      <c r="D102" s="354">
        <f t="shared" si="14"/>
        <v>-496</v>
      </c>
      <c r="E102" s="355">
        <f t="shared" si="13"/>
        <v>-0.292452830188679</v>
      </c>
      <c r="F102" s="351"/>
    </row>
    <row r="103" s="334" customFormat="1" ht="18" customHeight="1" spans="1:6">
      <c r="A103" s="378" t="s">
        <v>265</v>
      </c>
      <c r="B103" s="372"/>
      <c r="C103" s="372"/>
      <c r="D103" s="349">
        <f t="shared" si="14"/>
        <v>0</v>
      </c>
      <c r="E103" s="355"/>
      <c r="F103" s="351"/>
    </row>
    <row r="104" s="334" customFormat="1" ht="18" customHeight="1" spans="1:6">
      <c r="A104" s="379" t="s">
        <v>266</v>
      </c>
      <c r="B104" s="372">
        <f>SUM(B105:B109)</f>
        <v>5164</v>
      </c>
      <c r="C104" s="372">
        <f>SUM(C105:C109)</f>
        <v>5375</v>
      </c>
      <c r="D104" s="380">
        <f>SUM(D105:D109)</f>
        <v>211</v>
      </c>
      <c r="E104" s="350">
        <f t="shared" ref="E104:E108" si="15">SUM(D104/B104)</f>
        <v>0.040859798605732</v>
      </c>
      <c r="F104" s="351"/>
    </row>
    <row r="105" s="334" customFormat="1" ht="18" customHeight="1" spans="1:6">
      <c r="A105" s="381" t="s">
        <v>267</v>
      </c>
      <c r="B105" s="353">
        <v>4434</v>
      </c>
      <c r="C105" s="353">
        <v>4666</v>
      </c>
      <c r="D105" s="354">
        <f t="shared" ref="D105:D109" si="16">SUM(C105-B105)</f>
        <v>232</v>
      </c>
      <c r="E105" s="355">
        <f t="shared" si="15"/>
        <v>0.0523229589535408</v>
      </c>
      <c r="F105" s="351"/>
    </row>
    <row r="106" s="334" customFormat="1" ht="18" customHeight="1" spans="1:6">
      <c r="A106" s="381" t="s">
        <v>268</v>
      </c>
      <c r="B106" s="353"/>
      <c r="C106" s="353"/>
      <c r="D106" s="354">
        <f t="shared" si="16"/>
        <v>0</v>
      </c>
      <c r="E106" s="355"/>
      <c r="F106" s="351"/>
    </row>
    <row r="107" s="334" customFormat="1" ht="18" customHeight="1" spans="1:6">
      <c r="A107" s="381" t="s">
        <v>269</v>
      </c>
      <c r="B107" s="353">
        <v>273</v>
      </c>
      <c r="C107" s="353">
        <v>370</v>
      </c>
      <c r="D107" s="354">
        <f t="shared" si="16"/>
        <v>97</v>
      </c>
      <c r="E107" s="355">
        <f t="shared" si="15"/>
        <v>0.355311355311355</v>
      </c>
      <c r="F107" s="351"/>
    </row>
    <row r="108" s="334" customFormat="1" ht="18" customHeight="1" spans="1:6">
      <c r="A108" s="381" t="s">
        <v>270</v>
      </c>
      <c r="B108" s="353">
        <v>424</v>
      </c>
      <c r="C108" s="353">
        <v>300</v>
      </c>
      <c r="D108" s="354">
        <f t="shared" si="16"/>
        <v>-124</v>
      </c>
      <c r="E108" s="355">
        <f t="shared" si="15"/>
        <v>-0.292452830188679</v>
      </c>
      <c r="F108" s="357"/>
    </row>
    <row r="109" s="334" customFormat="1" ht="18" customHeight="1" spans="1:6">
      <c r="A109" s="381" t="s">
        <v>271</v>
      </c>
      <c r="B109" s="353">
        <v>33</v>
      </c>
      <c r="C109" s="353">
        <v>39</v>
      </c>
      <c r="D109" s="354">
        <f t="shared" si="16"/>
        <v>6</v>
      </c>
      <c r="E109" s="355"/>
      <c r="F109" s="357"/>
    </row>
    <row r="110" s="334" customFormat="1" ht="18" customHeight="1" spans="1:6">
      <c r="A110" s="382" t="s">
        <v>272</v>
      </c>
      <c r="B110" s="372">
        <f>SUM(B96,B97,B100,B104,B103)</f>
        <v>68469</v>
      </c>
      <c r="C110" s="372">
        <f>SUM(C96,C97,C100,C104)</f>
        <v>71900</v>
      </c>
      <c r="D110" s="380">
        <f>SUM(D96,D97,D100,D104,D103)</f>
        <v>3431</v>
      </c>
      <c r="E110" s="383">
        <f t="shared" ref="E110:E113" si="17">SUM(D110/B110)</f>
        <v>0.0501102688808074</v>
      </c>
      <c r="F110" s="351"/>
    </row>
    <row r="111" s="334" customFormat="1" ht="18" customHeight="1" spans="1:6">
      <c r="A111" s="118" t="s">
        <v>273</v>
      </c>
      <c r="B111" s="384">
        <f>SUM(B112:B113)</f>
        <v>68469</v>
      </c>
      <c r="C111" s="384">
        <f>SUM(C112:C113)</f>
        <v>71900</v>
      </c>
      <c r="D111" s="354">
        <f t="shared" ref="D111:D113" si="18">SUM(C111-B111)</f>
        <v>3431</v>
      </c>
      <c r="E111" s="355">
        <f t="shared" si="17"/>
        <v>0.0501102688808074</v>
      </c>
      <c r="F111" s="357"/>
    </row>
    <row r="112" s="334" customFormat="1" ht="18" customHeight="1" spans="1:6">
      <c r="A112" s="385" t="s">
        <v>274</v>
      </c>
      <c r="B112" s="384">
        <v>40269</v>
      </c>
      <c r="C112" s="386">
        <v>42260</v>
      </c>
      <c r="D112" s="354">
        <f t="shared" si="18"/>
        <v>1991</v>
      </c>
      <c r="E112" s="355">
        <f t="shared" si="17"/>
        <v>0.0494424991929276</v>
      </c>
      <c r="F112" s="351"/>
    </row>
    <row r="113" s="333" customFormat="1" ht="18" customHeight="1" spans="1:6">
      <c r="A113" s="385" t="s">
        <v>275</v>
      </c>
      <c r="B113" s="384">
        <v>28200</v>
      </c>
      <c r="C113" s="386">
        <v>29640</v>
      </c>
      <c r="D113" s="387">
        <f t="shared" si="18"/>
        <v>1440</v>
      </c>
      <c r="E113" s="388">
        <f t="shared" si="17"/>
        <v>0.051063829787234</v>
      </c>
      <c r="F113" s="351"/>
    </row>
    <row r="114" s="333" customFormat="1" spans="1:6">
      <c r="A114" s="334"/>
      <c r="B114" s="389"/>
      <c r="C114" s="390"/>
      <c r="D114" s="391"/>
      <c r="E114" s="334"/>
      <c r="F114" s="334"/>
    </row>
    <row r="115" s="333" customFormat="1" ht="13.2" spans="2:4">
      <c r="B115" s="389"/>
      <c r="C115" s="392"/>
      <c r="D115" s="389"/>
    </row>
    <row r="116" s="333" customFormat="1" ht="13.2" spans="2:4">
      <c r="B116" s="389"/>
      <c r="C116" s="392"/>
      <c r="D116" s="389"/>
    </row>
    <row r="117" s="333" customFormat="1" ht="13.2" spans="2:4">
      <c r="B117" s="389"/>
      <c r="C117" s="392"/>
      <c r="D117" s="389"/>
    </row>
    <row r="118" s="333" customFormat="1" ht="13.2" spans="2:4">
      <c r="B118" s="389"/>
      <c r="C118" s="392"/>
      <c r="D118" s="389"/>
    </row>
    <row r="119" s="333" customFormat="1" ht="13.2" spans="2:4">
      <c r="B119" s="389"/>
      <c r="C119" s="392"/>
      <c r="D119" s="389"/>
    </row>
    <row r="120" s="333" customFormat="1" ht="13.2" spans="2:4">
      <c r="B120" s="389"/>
      <c r="C120" s="392"/>
      <c r="D120" s="389"/>
    </row>
    <row r="121" s="333" customFormat="1" ht="13.2" spans="2:4">
      <c r="B121" s="389"/>
      <c r="C121" s="392"/>
      <c r="D121" s="389"/>
    </row>
    <row r="122" s="333" customFormat="1" ht="13.2" spans="2:4">
      <c r="B122" s="389"/>
      <c r="C122" s="392"/>
      <c r="D122" s="389"/>
    </row>
    <row r="123" s="333" customFormat="1" ht="13.2" spans="2:4">
      <c r="B123" s="389"/>
      <c r="C123" s="392"/>
      <c r="D123" s="389"/>
    </row>
    <row r="124" s="333" customFormat="1" ht="13.2" spans="2:4">
      <c r="B124" s="389"/>
      <c r="C124" s="392"/>
      <c r="D124" s="389"/>
    </row>
    <row r="125" s="333" customFormat="1" ht="13.2" spans="2:4">
      <c r="B125" s="389"/>
      <c r="C125" s="392"/>
      <c r="D125" s="389"/>
    </row>
    <row r="126" s="333" customFormat="1" ht="13.2" spans="2:4">
      <c r="B126" s="389"/>
      <c r="C126" s="392"/>
      <c r="D126" s="389"/>
    </row>
    <row r="127" s="333" customFormat="1" ht="13.2" spans="2:4">
      <c r="B127" s="389"/>
      <c r="C127" s="392"/>
      <c r="D127" s="389"/>
    </row>
    <row r="128" s="333" customFormat="1" ht="13.2" spans="2:4">
      <c r="B128" s="389"/>
      <c r="C128" s="393"/>
      <c r="D128" s="389"/>
    </row>
    <row r="129" s="333" customFormat="1" ht="13.2" spans="2:4">
      <c r="B129" s="389"/>
      <c r="C129" s="393"/>
      <c r="D129" s="389"/>
    </row>
    <row r="130" s="333" customFormat="1" ht="13.2" spans="2:4">
      <c r="B130" s="389"/>
      <c r="C130" s="393"/>
      <c r="D130" s="389"/>
    </row>
    <row r="131" s="333" customFormat="1" ht="13.2" spans="2:4">
      <c r="B131" s="389"/>
      <c r="C131" s="393"/>
      <c r="D131" s="389"/>
    </row>
    <row r="132" s="333" customFormat="1" ht="13.2" spans="2:4">
      <c r="B132" s="389"/>
      <c r="C132" s="393"/>
      <c r="D132" s="389"/>
    </row>
    <row r="133" s="333" customFormat="1" ht="13.2" spans="2:4">
      <c r="B133" s="389"/>
      <c r="C133" s="393"/>
      <c r="D133" s="389"/>
    </row>
    <row r="134" s="333" customFormat="1" ht="13.2" spans="2:4">
      <c r="B134" s="389"/>
      <c r="C134" s="393"/>
      <c r="D134" s="389"/>
    </row>
    <row r="135" s="333" customFormat="1" ht="13.2" spans="2:4">
      <c r="B135" s="389"/>
      <c r="C135" s="393"/>
      <c r="D135" s="389"/>
    </row>
    <row r="136" s="333" customFormat="1" ht="13.2" spans="2:4">
      <c r="B136" s="389"/>
      <c r="C136" s="393"/>
      <c r="D136" s="389"/>
    </row>
    <row r="137" s="333" customFormat="1" ht="13.2" spans="2:4">
      <c r="B137" s="389"/>
      <c r="C137" s="393"/>
      <c r="D137" s="389"/>
    </row>
    <row r="138" s="333" customFormat="1" ht="13.2" spans="2:4">
      <c r="B138" s="389"/>
      <c r="C138" s="393"/>
      <c r="D138" s="389"/>
    </row>
    <row r="139" s="333" customFormat="1" ht="13.2" spans="2:4">
      <c r="B139" s="389"/>
      <c r="C139" s="393"/>
      <c r="D139" s="389"/>
    </row>
    <row r="140" s="333" customFormat="1" ht="13.2" spans="2:4">
      <c r="B140" s="389"/>
      <c r="C140" s="393"/>
      <c r="D140" s="389"/>
    </row>
    <row r="141" s="333" customFormat="1" ht="13.2" spans="2:4">
      <c r="B141" s="389"/>
      <c r="C141" s="393"/>
      <c r="D141" s="389"/>
    </row>
    <row r="142" s="333" customFormat="1" ht="13.2" spans="2:4">
      <c r="B142" s="389"/>
      <c r="C142" s="393"/>
      <c r="D142" s="389"/>
    </row>
    <row r="143" s="333" customFormat="1" ht="13.2" spans="2:4">
      <c r="B143" s="389"/>
      <c r="C143" s="393"/>
      <c r="D143" s="389"/>
    </row>
    <row r="144" s="333" customFormat="1" ht="13.2" spans="2:4">
      <c r="B144" s="389"/>
      <c r="C144" s="393"/>
      <c r="D144" s="389"/>
    </row>
    <row r="145" s="333" customFormat="1" ht="13.2" spans="2:4">
      <c r="B145" s="389"/>
      <c r="C145" s="393"/>
      <c r="D145" s="389"/>
    </row>
    <row r="146" s="333" customFormat="1" ht="13.2" spans="2:4">
      <c r="B146" s="389"/>
      <c r="C146" s="393"/>
      <c r="D146" s="389"/>
    </row>
    <row r="147" s="333" customFormat="1" ht="13.2" spans="2:4">
      <c r="B147" s="389"/>
      <c r="C147" s="393"/>
      <c r="D147" s="389"/>
    </row>
    <row r="148" s="333" customFormat="1" ht="13.2" spans="2:4">
      <c r="B148" s="389"/>
      <c r="C148" s="393"/>
      <c r="D148" s="389"/>
    </row>
    <row r="149" s="333" customFormat="1" ht="13.2" spans="2:4">
      <c r="B149" s="389"/>
      <c r="C149" s="393"/>
      <c r="D149" s="389"/>
    </row>
    <row r="150" s="333" customFormat="1" ht="13.2" spans="2:4">
      <c r="B150" s="389"/>
      <c r="C150" s="393"/>
      <c r="D150" s="389"/>
    </row>
    <row r="151" s="333" customFormat="1" ht="13.2" spans="2:4">
      <c r="B151" s="389"/>
      <c r="C151" s="393"/>
      <c r="D151" s="389"/>
    </row>
    <row r="152" s="333" customFormat="1" ht="13.2" spans="2:4">
      <c r="B152" s="389"/>
      <c r="C152" s="393"/>
      <c r="D152" s="389"/>
    </row>
    <row r="153" s="333" customFormat="1" ht="13.2" spans="2:4">
      <c r="B153" s="389"/>
      <c r="C153" s="393"/>
      <c r="D153" s="389"/>
    </row>
    <row r="154" s="333" customFormat="1" ht="13.2" spans="2:4">
      <c r="B154" s="389"/>
      <c r="C154" s="393"/>
      <c r="D154" s="389"/>
    </row>
    <row r="155" s="333" customFormat="1" ht="13.2" spans="2:4">
      <c r="B155" s="389"/>
      <c r="C155" s="393"/>
      <c r="D155" s="389"/>
    </row>
    <row r="156" s="333" customFormat="1" ht="13.2" spans="2:4">
      <c r="B156" s="389"/>
      <c r="C156" s="393"/>
      <c r="D156" s="389"/>
    </row>
  </sheetData>
  <mergeCells count="6">
    <mergeCell ref="A2:F2"/>
    <mergeCell ref="D4:E4"/>
    <mergeCell ref="A4:A5"/>
    <mergeCell ref="B4:B5"/>
    <mergeCell ref="C4:C5"/>
    <mergeCell ref="F4:F5"/>
  </mergeCells>
  <pageMargins left="0.826388888888889" right="0.554861111111111" top="0.409027777777778" bottom="0.802777777777778" header="0.5" footer="0.5"/>
  <pageSetup paperSize="9" firstPageNumber="27" orientation="landscape" useFirstPageNumber="1" horizontalDpi="600"/>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37"/>
  <sheetViews>
    <sheetView showZeros="0" workbookViewId="0">
      <pane xSplit="2" ySplit="8" topLeftCell="C872" activePane="bottomRight" state="frozen"/>
      <selection/>
      <selection pane="topRight"/>
      <selection pane="bottomLeft"/>
      <selection pane="bottomRight" activeCell="L880" sqref="L880"/>
    </sheetView>
  </sheetViews>
  <sheetFormatPr defaultColWidth="6.86111111111111" defaultRowHeight="14.4"/>
  <cols>
    <col min="1" max="1" width="7.5" style="266" customWidth="1"/>
    <col min="2" max="2" width="18.8796296296296" style="266" customWidth="1"/>
    <col min="3" max="3" width="12.75" style="263" customWidth="1"/>
    <col min="4" max="4" width="9.12962962962963" style="263" customWidth="1"/>
    <col min="5" max="5" width="10" style="263" customWidth="1"/>
    <col min="6" max="6" width="9.25" style="263" customWidth="1"/>
    <col min="7" max="7" width="8" style="263" customWidth="1"/>
    <col min="8" max="8" width="8.37962962962963" style="263" customWidth="1"/>
    <col min="9" max="9" width="8.87962962962963" style="263" customWidth="1"/>
    <col min="10" max="10" width="8.62962962962963" style="263" customWidth="1"/>
    <col min="11" max="11" width="7.75" style="263" customWidth="1"/>
    <col min="12" max="12" width="8.87962962962963" style="263" customWidth="1"/>
    <col min="13" max="13" width="25.1296296296296" style="263" customWidth="1"/>
    <col min="14" max="243" width="6.86111111111111" style="263" customWidth="1"/>
    <col min="244" max="16371" width="6.86111111111111" style="263"/>
  </cols>
  <sheetData>
    <row r="1" s="263" customFormat="1" ht="21" customHeight="1" spans="1:2">
      <c r="A1" s="267" t="s">
        <v>276</v>
      </c>
      <c r="B1" s="268"/>
    </row>
    <row r="2" s="264" customFormat="1" ht="24.75" customHeight="1" spans="1:13">
      <c r="A2" s="269" t="s">
        <v>277</v>
      </c>
      <c r="B2" s="269"/>
      <c r="C2" s="270"/>
      <c r="D2" s="270"/>
      <c r="E2" s="270"/>
      <c r="F2" s="270"/>
      <c r="G2" s="270"/>
      <c r="H2" s="270"/>
      <c r="I2" s="270"/>
      <c r="J2" s="270"/>
      <c r="K2" s="270"/>
      <c r="L2" s="270"/>
      <c r="M2" s="314"/>
    </row>
    <row r="3" s="263" customFormat="1" ht="409.5" hidden="1" customHeight="1" spans="1:12">
      <c r="A3" s="271"/>
      <c r="B3" s="271"/>
      <c r="C3" s="272"/>
      <c r="D3" s="272"/>
      <c r="E3" s="272"/>
      <c r="F3" s="272"/>
      <c r="G3" s="272"/>
      <c r="H3" s="272"/>
      <c r="I3" s="272"/>
      <c r="J3" s="272"/>
      <c r="K3" s="272"/>
      <c r="L3" s="272"/>
    </row>
    <row r="4" s="263" customFormat="1" ht="19.5" customHeight="1" spans="1:13">
      <c r="A4" s="273"/>
      <c r="B4" s="266"/>
      <c r="C4" s="274"/>
      <c r="D4" s="274"/>
      <c r="E4" s="274"/>
      <c r="F4" s="274"/>
      <c r="G4" s="274"/>
      <c r="M4" s="315" t="s">
        <v>2</v>
      </c>
    </row>
    <row r="5" s="265" customFormat="1" ht="18.75" customHeight="1" spans="1:13">
      <c r="A5" s="275" t="s">
        <v>278</v>
      </c>
      <c r="B5" s="275" t="s">
        <v>279</v>
      </c>
      <c r="C5" s="275" t="s">
        <v>280</v>
      </c>
      <c r="D5" s="275" t="s">
        <v>123</v>
      </c>
      <c r="E5" s="276" t="s">
        <v>281</v>
      </c>
      <c r="F5" s="276"/>
      <c r="G5" s="276"/>
      <c r="H5" s="275"/>
      <c r="I5" s="316" t="s">
        <v>282</v>
      </c>
      <c r="J5" s="317"/>
      <c r="K5" s="317"/>
      <c r="L5" s="318"/>
      <c r="M5" s="319" t="s">
        <v>169</v>
      </c>
    </row>
    <row r="6" s="265" customFormat="1" ht="36" customHeight="1" spans="1:13">
      <c r="A6" s="275"/>
      <c r="B6" s="275"/>
      <c r="C6" s="275"/>
      <c r="D6" s="276"/>
      <c r="E6" s="277" t="s">
        <v>283</v>
      </c>
      <c r="F6" s="278" t="s">
        <v>284</v>
      </c>
      <c r="G6" s="278" t="s">
        <v>285</v>
      </c>
      <c r="H6" s="278" t="s">
        <v>286</v>
      </c>
      <c r="I6" s="278" t="s">
        <v>283</v>
      </c>
      <c r="J6" s="278" t="s">
        <v>287</v>
      </c>
      <c r="K6" s="320" t="s">
        <v>288</v>
      </c>
      <c r="L6" s="320" t="s">
        <v>289</v>
      </c>
      <c r="M6" s="276"/>
    </row>
    <row r="7" s="263" customFormat="1" ht="18.75" customHeight="1" spans="1:13">
      <c r="A7" s="279" t="s">
        <v>290</v>
      </c>
      <c r="B7" s="279" t="s">
        <v>290</v>
      </c>
      <c r="C7" s="280" t="s">
        <v>290</v>
      </c>
      <c r="D7" s="279">
        <v>1</v>
      </c>
      <c r="E7" s="281">
        <v>2</v>
      </c>
      <c r="F7" s="281">
        <v>3</v>
      </c>
      <c r="G7" s="281">
        <v>4</v>
      </c>
      <c r="H7" s="281">
        <v>5</v>
      </c>
      <c r="I7" s="281">
        <v>6</v>
      </c>
      <c r="J7" s="281">
        <v>7</v>
      </c>
      <c r="K7" s="281">
        <v>8</v>
      </c>
      <c r="L7" s="281">
        <v>9</v>
      </c>
      <c r="M7" s="279">
        <v>10</v>
      </c>
    </row>
    <row r="8" s="263" customFormat="1" ht="18.75" customHeight="1" spans="1:13">
      <c r="A8" s="282"/>
      <c r="B8" s="283"/>
      <c r="C8" s="284" t="s">
        <v>123</v>
      </c>
      <c r="D8" s="285">
        <f>D9+D289+D302+D353+D385+D396+D455+D655+D714+D739+D770+D904+D924+D936+D947+D951+D968+D1056+D1073+D1077+D1116+D1120+D1127+D1134</f>
        <v>323466.897</v>
      </c>
      <c r="E8" s="286">
        <f t="shared" ref="D8:L8" si="0">E9+E289+E302+E353+E385+E396+E455+E655+E714+E739+E770+E904+E924+E936+E947+E951+E968+E1056+E1073+E1077+E1116+E1120+E1127+E1134</f>
        <v>104711.8221</v>
      </c>
      <c r="F8" s="287">
        <f t="shared" si="0"/>
        <v>91412.0992</v>
      </c>
      <c r="G8" s="285">
        <f t="shared" si="0"/>
        <v>5012.498</v>
      </c>
      <c r="H8" s="286">
        <f t="shared" si="0"/>
        <v>8287.2249</v>
      </c>
      <c r="I8" s="321">
        <f t="shared" si="0"/>
        <v>218755.0749</v>
      </c>
      <c r="J8" s="285">
        <f t="shared" si="0"/>
        <v>54053.5474</v>
      </c>
      <c r="K8" s="286">
        <f t="shared" si="0"/>
        <v>8590.0975</v>
      </c>
      <c r="L8" s="287">
        <f t="shared" si="0"/>
        <v>156111.43</v>
      </c>
      <c r="M8" s="322" t="s">
        <v>291</v>
      </c>
    </row>
    <row r="9" s="263" customFormat="1" ht="19" customHeight="1" spans="1:13">
      <c r="A9" s="288" t="s">
        <v>292</v>
      </c>
      <c r="B9" s="289" t="s">
        <v>293</v>
      </c>
      <c r="C9" s="290"/>
      <c r="D9" s="291">
        <f t="shared" ref="D9:L9" si="1">D10+D28+D41+D65+D72+D82+D94+D107+D114+D123+D130+D135+D140+D145+D230+D234+D243+D250+D259+D262+D265+D286</f>
        <v>20397.9774</v>
      </c>
      <c r="E9" s="292">
        <f t="shared" si="1"/>
        <v>14560.2464</v>
      </c>
      <c r="F9" s="293">
        <f t="shared" si="1"/>
        <v>11306.0875</v>
      </c>
      <c r="G9" s="291">
        <f t="shared" si="1"/>
        <v>2654.4482</v>
      </c>
      <c r="H9" s="292">
        <f t="shared" si="1"/>
        <v>599.7107</v>
      </c>
      <c r="I9" s="323">
        <f t="shared" si="1"/>
        <v>5837.731</v>
      </c>
      <c r="J9" s="291">
        <f t="shared" si="1"/>
        <v>5709.951</v>
      </c>
      <c r="K9" s="292">
        <f t="shared" si="1"/>
        <v>0</v>
      </c>
      <c r="L9" s="293">
        <f t="shared" si="1"/>
        <v>127.78</v>
      </c>
      <c r="M9" s="324" t="s">
        <v>291</v>
      </c>
    </row>
    <row r="10" s="263" customFormat="1" ht="18.75" customHeight="1" spans="1:13">
      <c r="A10" s="294" t="s">
        <v>294</v>
      </c>
      <c r="B10" s="295" t="s">
        <v>295</v>
      </c>
      <c r="C10" s="296"/>
      <c r="D10" s="297">
        <f t="shared" ref="D10:L10" si="2">D11+D14+D16+D18+D20+D22+D24+D26</f>
        <v>1301.1554</v>
      </c>
      <c r="E10" s="298">
        <f t="shared" si="2"/>
        <v>570.8354</v>
      </c>
      <c r="F10" s="299">
        <f t="shared" si="2"/>
        <v>477.0608</v>
      </c>
      <c r="G10" s="297">
        <f t="shared" si="2"/>
        <v>66.714</v>
      </c>
      <c r="H10" s="298">
        <f t="shared" si="2"/>
        <v>27.0606</v>
      </c>
      <c r="I10" s="325">
        <f t="shared" si="2"/>
        <v>730.32</v>
      </c>
      <c r="J10" s="297">
        <f t="shared" si="2"/>
        <v>730.32</v>
      </c>
      <c r="K10" s="298">
        <f t="shared" si="2"/>
        <v>0</v>
      </c>
      <c r="L10" s="299">
        <f t="shared" si="2"/>
        <v>0</v>
      </c>
      <c r="M10" s="326" t="s">
        <v>291</v>
      </c>
    </row>
    <row r="11" s="263" customFormat="1" ht="25" customHeight="1" spans="1:13">
      <c r="A11" s="300" t="s">
        <v>296</v>
      </c>
      <c r="B11" s="301" t="s">
        <v>297</v>
      </c>
      <c r="C11" s="302"/>
      <c r="D11" s="303">
        <f t="shared" ref="D11:L11" si="3">SUM(D12:D13)</f>
        <v>671.1954</v>
      </c>
      <c r="E11" s="304">
        <f t="shared" si="3"/>
        <v>570.8354</v>
      </c>
      <c r="F11" s="305">
        <f t="shared" si="3"/>
        <v>477.0608</v>
      </c>
      <c r="G11" s="303">
        <f t="shared" si="3"/>
        <v>66.714</v>
      </c>
      <c r="H11" s="304">
        <f t="shared" si="3"/>
        <v>27.0606</v>
      </c>
      <c r="I11" s="327">
        <f t="shared" si="3"/>
        <v>100.36</v>
      </c>
      <c r="J11" s="303">
        <f t="shared" si="3"/>
        <v>100.36</v>
      </c>
      <c r="K11" s="304">
        <f t="shared" si="3"/>
        <v>0</v>
      </c>
      <c r="L11" s="305">
        <f t="shared" si="3"/>
        <v>0</v>
      </c>
      <c r="M11" s="328" t="s">
        <v>291</v>
      </c>
    </row>
    <row r="12" s="263" customFormat="1" ht="74" customHeight="1" spans="1:13">
      <c r="A12" s="306" t="s">
        <v>298</v>
      </c>
      <c r="B12" s="307" t="s">
        <v>298</v>
      </c>
      <c r="C12" s="308" t="s">
        <v>299</v>
      </c>
      <c r="D12" s="309">
        <f>E12+I12</f>
        <v>438.8234</v>
      </c>
      <c r="E12" s="310">
        <f t="shared" ref="E12:E17" si="4">SUBTOTAL(9,F12:H12)</f>
        <v>338.4634</v>
      </c>
      <c r="F12" s="311">
        <v>274.4008</v>
      </c>
      <c r="G12" s="309">
        <v>37.002</v>
      </c>
      <c r="H12" s="310">
        <v>27.0606</v>
      </c>
      <c r="I12" s="329">
        <f t="shared" ref="I12:I17" si="5">SUBTOTAL(9,J12:L12)</f>
        <v>100.36</v>
      </c>
      <c r="J12" s="309">
        <v>100.36</v>
      </c>
      <c r="K12" s="310">
        <v>0</v>
      </c>
      <c r="L12" s="311">
        <v>0</v>
      </c>
      <c r="M12" s="330" t="s">
        <v>300</v>
      </c>
    </row>
    <row r="13" s="263" customFormat="1" ht="24" customHeight="1" spans="1:13">
      <c r="A13" s="306"/>
      <c r="B13" s="307"/>
      <c r="C13" s="308" t="s">
        <v>301</v>
      </c>
      <c r="D13" s="309">
        <f t="shared" ref="D12:D15" si="6">E13+I13</f>
        <v>232.372</v>
      </c>
      <c r="E13" s="310">
        <f>F13+G13</f>
        <v>232.372</v>
      </c>
      <c r="F13" s="311">
        <v>202.66</v>
      </c>
      <c r="G13" s="310">
        <v>29.712</v>
      </c>
      <c r="H13" s="310"/>
      <c r="I13" s="329"/>
      <c r="J13" s="309"/>
      <c r="K13" s="310"/>
      <c r="L13" s="311"/>
      <c r="M13" s="330"/>
    </row>
    <row r="14" s="263" customFormat="1" ht="22" customHeight="1" spans="1:13">
      <c r="A14" s="300" t="s">
        <v>302</v>
      </c>
      <c r="B14" s="301" t="s">
        <v>303</v>
      </c>
      <c r="C14" s="302"/>
      <c r="D14" s="303">
        <f t="shared" ref="D14:L14" si="7">D15</f>
        <v>203.56</v>
      </c>
      <c r="E14" s="304">
        <f t="shared" si="7"/>
        <v>0</v>
      </c>
      <c r="F14" s="305">
        <f t="shared" si="7"/>
        <v>0</v>
      </c>
      <c r="G14" s="303">
        <f t="shared" si="7"/>
        <v>0</v>
      </c>
      <c r="H14" s="304">
        <f t="shared" si="7"/>
        <v>0</v>
      </c>
      <c r="I14" s="327">
        <f t="shared" si="7"/>
        <v>203.56</v>
      </c>
      <c r="J14" s="303">
        <f t="shared" si="7"/>
        <v>203.56</v>
      </c>
      <c r="K14" s="304">
        <f t="shared" si="7"/>
        <v>0</v>
      </c>
      <c r="L14" s="305">
        <f t="shared" si="7"/>
        <v>0</v>
      </c>
      <c r="M14" s="328" t="s">
        <v>291</v>
      </c>
    </row>
    <row r="15" s="263" customFormat="1" ht="70" customHeight="1" spans="1:13">
      <c r="A15" s="306" t="s">
        <v>298</v>
      </c>
      <c r="B15" s="307" t="s">
        <v>298</v>
      </c>
      <c r="C15" s="308" t="s">
        <v>299</v>
      </c>
      <c r="D15" s="309">
        <f t="shared" si="6"/>
        <v>203.56</v>
      </c>
      <c r="E15" s="310">
        <f t="shared" si="4"/>
        <v>0</v>
      </c>
      <c r="F15" s="311">
        <v>0</v>
      </c>
      <c r="G15" s="309">
        <v>0</v>
      </c>
      <c r="H15" s="310">
        <v>0</v>
      </c>
      <c r="I15" s="329">
        <f t="shared" si="5"/>
        <v>203.56</v>
      </c>
      <c r="J15" s="309">
        <v>203.56</v>
      </c>
      <c r="K15" s="310">
        <v>0</v>
      </c>
      <c r="L15" s="311">
        <v>0</v>
      </c>
      <c r="M15" s="330" t="s">
        <v>304</v>
      </c>
    </row>
    <row r="16" s="263" customFormat="1" ht="22" customHeight="1" spans="1:13">
      <c r="A16" s="300" t="s">
        <v>305</v>
      </c>
      <c r="B16" s="301" t="s">
        <v>306</v>
      </c>
      <c r="C16" s="302"/>
      <c r="D16" s="303">
        <f t="shared" ref="D16:L16" si="8">D17</f>
        <v>54</v>
      </c>
      <c r="E16" s="304">
        <f t="shared" si="8"/>
        <v>0</v>
      </c>
      <c r="F16" s="305">
        <f t="shared" si="8"/>
        <v>0</v>
      </c>
      <c r="G16" s="303">
        <f t="shared" si="8"/>
        <v>0</v>
      </c>
      <c r="H16" s="304">
        <f t="shared" si="8"/>
        <v>0</v>
      </c>
      <c r="I16" s="327">
        <f t="shared" si="8"/>
        <v>54</v>
      </c>
      <c r="J16" s="303">
        <f t="shared" si="8"/>
        <v>54</v>
      </c>
      <c r="K16" s="304">
        <f t="shared" si="8"/>
        <v>0</v>
      </c>
      <c r="L16" s="305">
        <f t="shared" si="8"/>
        <v>0</v>
      </c>
      <c r="M16" s="328" t="s">
        <v>291</v>
      </c>
    </row>
    <row r="17" s="263" customFormat="1" ht="28" customHeight="1" spans="1:13">
      <c r="A17" s="306" t="s">
        <v>298</v>
      </c>
      <c r="B17" s="307" t="s">
        <v>298</v>
      </c>
      <c r="C17" s="308" t="s">
        <v>299</v>
      </c>
      <c r="D17" s="309">
        <f t="shared" ref="D17:D21" si="9">E17+I17</f>
        <v>54</v>
      </c>
      <c r="E17" s="310">
        <f t="shared" si="4"/>
        <v>0</v>
      </c>
      <c r="F17" s="311">
        <v>0</v>
      </c>
      <c r="G17" s="309">
        <v>0</v>
      </c>
      <c r="H17" s="310">
        <v>0</v>
      </c>
      <c r="I17" s="329">
        <f t="shared" si="5"/>
        <v>54</v>
      </c>
      <c r="J17" s="309">
        <v>54</v>
      </c>
      <c r="K17" s="310">
        <v>0</v>
      </c>
      <c r="L17" s="311">
        <v>0</v>
      </c>
      <c r="M17" s="330" t="s">
        <v>307</v>
      </c>
    </row>
    <row r="18" s="263" customFormat="1" ht="22" customHeight="1" spans="1:13">
      <c r="A18" s="300" t="s">
        <v>308</v>
      </c>
      <c r="B18" s="301" t="s">
        <v>309</v>
      </c>
      <c r="C18" s="302"/>
      <c r="D18" s="303">
        <f t="shared" ref="D18:L18" si="10">D19</f>
        <v>8</v>
      </c>
      <c r="E18" s="304">
        <f t="shared" si="10"/>
        <v>0</v>
      </c>
      <c r="F18" s="305">
        <f t="shared" si="10"/>
        <v>0</v>
      </c>
      <c r="G18" s="303">
        <f t="shared" si="10"/>
        <v>0</v>
      </c>
      <c r="H18" s="304">
        <f t="shared" si="10"/>
        <v>0</v>
      </c>
      <c r="I18" s="327">
        <f t="shared" si="10"/>
        <v>8</v>
      </c>
      <c r="J18" s="303">
        <f t="shared" si="10"/>
        <v>8</v>
      </c>
      <c r="K18" s="304">
        <f t="shared" si="10"/>
        <v>0</v>
      </c>
      <c r="L18" s="305">
        <f t="shared" si="10"/>
        <v>0</v>
      </c>
      <c r="M18" s="328" t="s">
        <v>291</v>
      </c>
    </row>
    <row r="19" s="263" customFormat="1" ht="18.75" customHeight="1" spans="1:13">
      <c r="A19" s="306" t="s">
        <v>298</v>
      </c>
      <c r="B19" s="307" t="s">
        <v>298</v>
      </c>
      <c r="C19" s="308" t="s">
        <v>299</v>
      </c>
      <c r="D19" s="309">
        <f t="shared" si="9"/>
        <v>8</v>
      </c>
      <c r="E19" s="310">
        <f t="shared" ref="E19:E23" si="11">SUBTOTAL(9,F19:H19)</f>
        <v>0</v>
      </c>
      <c r="F19" s="311">
        <v>0</v>
      </c>
      <c r="G19" s="309">
        <v>0</v>
      </c>
      <c r="H19" s="310">
        <v>0</v>
      </c>
      <c r="I19" s="329">
        <f t="shared" ref="I19:I23" si="12">SUBTOTAL(9,J19:L19)</f>
        <v>8</v>
      </c>
      <c r="J19" s="309">
        <v>8</v>
      </c>
      <c r="K19" s="310">
        <v>0</v>
      </c>
      <c r="L19" s="311">
        <v>0</v>
      </c>
      <c r="M19" s="330" t="s">
        <v>310</v>
      </c>
    </row>
    <row r="20" s="263" customFormat="1" ht="24" customHeight="1" spans="1:13">
      <c r="A20" s="300" t="s">
        <v>311</v>
      </c>
      <c r="B20" s="301" t="s">
        <v>312</v>
      </c>
      <c r="C20" s="302"/>
      <c r="D20" s="303">
        <f t="shared" ref="D20:L20" si="13">D21</f>
        <v>102.42</v>
      </c>
      <c r="E20" s="304">
        <f t="shared" si="13"/>
        <v>0</v>
      </c>
      <c r="F20" s="305">
        <f t="shared" si="13"/>
        <v>0</v>
      </c>
      <c r="G20" s="303">
        <f t="shared" si="13"/>
        <v>0</v>
      </c>
      <c r="H20" s="304">
        <f t="shared" si="13"/>
        <v>0</v>
      </c>
      <c r="I20" s="327">
        <f t="shared" si="13"/>
        <v>102.42</v>
      </c>
      <c r="J20" s="303">
        <f t="shared" si="13"/>
        <v>102.42</v>
      </c>
      <c r="K20" s="304">
        <f t="shared" si="13"/>
        <v>0</v>
      </c>
      <c r="L20" s="305">
        <f t="shared" si="13"/>
        <v>0</v>
      </c>
      <c r="M20" s="328" t="s">
        <v>291</v>
      </c>
    </row>
    <row r="21" s="263" customFormat="1" ht="40" customHeight="1" spans="1:13">
      <c r="A21" s="306" t="s">
        <v>298</v>
      </c>
      <c r="B21" s="307" t="s">
        <v>298</v>
      </c>
      <c r="C21" s="308" t="s">
        <v>299</v>
      </c>
      <c r="D21" s="309">
        <f t="shared" si="9"/>
        <v>102.42</v>
      </c>
      <c r="E21" s="310">
        <f t="shared" si="11"/>
        <v>0</v>
      </c>
      <c r="F21" s="311">
        <v>0</v>
      </c>
      <c r="G21" s="309">
        <v>0</v>
      </c>
      <c r="H21" s="310">
        <v>0</v>
      </c>
      <c r="I21" s="329">
        <f t="shared" si="12"/>
        <v>102.42</v>
      </c>
      <c r="J21" s="309">
        <v>102.42</v>
      </c>
      <c r="K21" s="310">
        <v>0</v>
      </c>
      <c r="L21" s="311">
        <v>0</v>
      </c>
      <c r="M21" s="330" t="s">
        <v>313</v>
      </c>
    </row>
    <row r="22" s="263" customFormat="1" ht="22" customHeight="1" spans="1:13">
      <c r="A22" s="300" t="s">
        <v>314</v>
      </c>
      <c r="B22" s="301" t="s">
        <v>315</v>
      </c>
      <c r="C22" s="302"/>
      <c r="D22" s="303">
        <f t="shared" ref="D22:L22" si="14">D23</f>
        <v>58.78</v>
      </c>
      <c r="E22" s="304">
        <f t="shared" si="14"/>
        <v>0</v>
      </c>
      <c r="F22" s="305">
        <f t="shared" si="14"/>
        <v>0</v>
      </c>
      <c r="G22" s="303">
        <f t="shared" si="14"/>
        <v>0</v>
      </c>
      <c r="H22" s="304">
        <f t="shared" si="14"/>
        <v>0</v>
      </c>
      <c r="I22" s="327">
        <f t="shared" si="14"/>
        <v>58.78</v>
      </c>
      <c r="J22" s="303">
        <f t="shared" si="14"/>
        <v>58.78</v>
      </c>
      <c r="K22" s="304">
        <f t="shared" si="14"/>
        <v>0</v>
      </c>
      <c r="L22" s="305">
        <f t="shared" si="14"/>
        <v>0</v>
      </c>
      <c r="M22" s="328" t="s">
        <v>291</v>
      </c>
    </row>
    <row r="23" s="263" customFormat="1" ht="31" customHeight="1" spans="1:13">
      <c r="A23" s="306" t="s">
        <v>298</v>
      </c>
      <c r="B23" s="307" t="s">
        <v>298</v>
      </c>
      <c r="C23" s="308" t="s">
        <v>299</v>
      </c>
      <c r="D23" s="309">
        <f t="shared" ref="D23:D27" si="15">E23+I23</f>
        <v>58.78</v>
      </c>
      <c r="E23" s="310">
        <f t="shared" si="11"/>
        <v>0</v>
      </c>
      <c r="F23" s="311">
        <v>0</v>
      </c>
      <c r="G23" s="309">
        <v>0</v>
      </c>
      <c r="H23" s="310">
        <v>0</v>
      </c>
      <c r="I23" s="329">
        <f t="shared" si="12"/>
        <v>58.78</v>
      </c>
      <c r="J23" s="309">
        <v>58.78</v>
      </c>
      <c r="K23" s="310">
        <v>0</v>
      </c>
      <c r="L23" s="311">
        <v>0</v>
      </c>
      <c r="M23" s="330" t="s">
        <v>316</v>
      </c>
    </row>
    <row r="24" s="263" customFormat="1" ht="22" customHeight="1" spans="1:13">
      <c r="A24" s="300" t="s">
        <v>317</v>
      </c>
      <c r="B24" s="301" t="s">
        <v>318</v>
      </c>
      <c r="C24" s="302"/>
      <c r="D24" s="303">
        <f t="shared" ref="D24:L24" si="16">D25</f>
        <v>3.2</v>
      </c>
      <c r="E24" s="304">
        <f t="shared" si="16"/>
        <v>0</v>
      </c>
      <c r="F24" s="305">
        <f t="shared" si="16"/>
        <v>0</v>
      </c>
      <c r="G24" s="303">
        <f t="shared" si="16"/>
        <v>0</v>
      </c>
      <c r="H24" s="304">
        <f t="shared" si="16"/>
        <v>0</v>
      </c>
      <c r="I24" s="327">
        <f t="shared" si="16"/>
        <v>3.2</v>
      </c>
      <c r="J24" s="303">
        <f t="shared" si="16"/>
        <v>3.2</v>
      </c>
      <c r="K24" s="304">
        <f t="shared" si="16"/>
        <v>0</v>
      </c>
      <c r="L24" s="305">
        <f t="shared" si="16"/>
        <v>0</v>
      </c>
      <c r="M24" s="328" t="s">
        <v>291</v>
      </c>
    </row>
    <row r="25" s="263" customFormat="1" ht="18.75" customHeight="1" spans="1:13">
      <c r="A25" s="306" t="s">
        <v>298</v>
      </c>
      <c r="B25" s="307" t="s">
        <v>298</v>
      </c>
      <c r="C25" s="308" t="s">
        <v>299</v>
      </c>
      <c r="D25" s="309">
        <f t="shared" si="15"/>
        <v>3.2</v>
      </c>
      <c r="E25" s="310">
        <f t="shared" ref="E25:E30" si="17">SUBTOTAL(9,F25:H25)</f>
        <v>0</v>
      </c>
      <c r="F25" s="311">
        <v>0</v>
      </c>
      <c r="G25" s="309">
        <v>0</v>
      </c>
      <c r="H25" s="310">
        <v>0</v>
      </c>
      <c r="I25" s="329">
        <f t="shared" ref="I25:I30" si="18">SUBTOTAL(9,J25:L25)</f>
        <v>3.2</v>
      </c>
      <c r="J25" s="309">
        <v>3.2</v>
      </c>
      <c r="K25" s="310">
        <v>0</v>
      </c>
      <c r="L25" s="311">
        <v>0</v>
      </c>
      <c r="M25" s="330" t="s">
        <v>319</v>
      </c>
    </row>
    <row r="26" s="263" customFormat="1" ht="22" customHeight="1" spans="1:13">
      <c r="A26" s="300" t="s">
        <v>320</v>
      </c>
      <c r="B26" s="301" t="s">
        <v>321</v>
      </c>
      <c r="C26" s="302"/>
      <c r="D26" s="303">
        <f t="shared" ref="D26:L26" si="19">D27</f>
        <v>200</v>
      </c>
      <c r="E26" s="304">
        <f t="shared" si="19"/>
        <v>0</v>
      </c>
      <c r="F26" s="305">
        <f t="shared" si="19"/>
        <v>0</v>
      </c>
      <c r="G26" s="303">
        <f t="shared" si="19"/>
        <v>0</v>
      </c>
      <c r="H26" s="304">
        <f t="shared" si="19"/>
        <v>0</v>
      </c>
      <c r="I26" s="327">
        <f t="shared" si="19"/>
        <v>200</v>
      </c>
      <c r="J26" s="303">
        <f t="shared" si="19"/>
        <v>200</v>
      </c>
      <c r="K26" s="304">
        <f t="shared" si="19"/>
        <v>0</v>
      </c>
      <c r="L26" s="305">
        <f t="shared" si="19"/>
        <v>0</v>
      </c>
      <c r="M26" s="328" t="s">
        <v>291</v>
      </c>
    </row>
    <row r="27" s="263" customFormat="1" ht="26" customHeight="1" spans="1:13">
      <c r="A27" s="306" t="s">
        <v>298</v>
      </c>
      <c r="B27" s="307" t="s">
        <v>298</v>
      </c>
      <c r="C27" s="308" t="s">
        <v>299</v>
      </c>
      <c r="D27" s="309">
        <f t="shared" si="15"/>
        <v>200</v>
      </c>
      <c r="E27" s="310">
        <f t="shared" si="17"/>
        <v>0</v>
      </c>
      <c r="F27" s="311">
        <v>0</v>
      </c>
      <c r="G27" s="309">
        <v>0</v>
      </c>
      <c r="H27" s="310">
        <v>0</v>
      </c>
      <c r="I27" s="329">
        <f t="shared" si="18"/>
        <v>200</v>
      </c>
      <c r="J27" s="309">
        <v>200</v>
      </c>
      <c r="K27" s="310">
        <v>0</v>
      </c>
      <c r="L27" s="311">
        <v>0</v>
      </c>
      <c r="M27" s="330" t="s">
        <v>322</v>
      </c>
    </row>
    <row r="28" s="263" customFormat="1" ht="18.75" customHeight="1" spans="1:13">
      <c r="A28" s="294" t="s">
        <v>323</v>
      </c>
      <c r="B28" s="295" t="s">
        <v>324</v>
      </c>
      <c r="C28" s="296"/>
      <c r="D28" s="297">
        <f t="shared" ref="D28:L28" si="20">D29+D31+D33+D35+D37+D39</f>
        <v>366.1419</v>
      </c>
      <c r="E28" s="298">
        <f t="shared" si="20"/>
        <v>241.4819</v>
      </c>
      <c r="F28" s="299">
        <f t="shared" si="20"/>
        <v>197.2362</v>
      </c>
      <c r="G28" s="297">
        <f t="shared" si="20"/>
        <v>30.468</v>
      </c>
      <c r="H28" s="298">
        <f t="shared" si="20"/>
        <v>13.7777</v>
      </c>
      <c r="I28" s="325">
        <f t="shared" si="20"/>
        <v>124.66</v>
      </c>
      <c r="J28" s="297">
        <f t="shared" si="20"/>
        <v>124.66</v>
      </c>
      <c r="K28" s="298">
        <f t="shared" si="20"/>
        <v>0</v>
      </c>
      <c r="L28" s="299">
        <f t="shared" si="20"/>
        <v>0</v>
      </c>
      <c r="M28" s="326" t="s">
        <v>291</v>
      </c>
    </row>
    <row r="29" s="263" customFormat="1" ht="22" customHeight="1" spans="1:13">
      <c r="A29" s="300" t="s">
        <v>325</v>
      </c>
      <c r="B29" s="301" t="s">
        <v>326</v>
      </c>
      <c r="C29" s="302"/>
      <c r="D29" s="303">
        <f t="shared" ref="D29:L29" si="21">D30</f>
        <v>247.7419</v>
      </c>
      <c r="E29" s="304">
        <f t="shared" si="21"/>
        <v>241.4819</v>
      </c>
      <c r="F29" s="305">
        <f t="shared" si="21"/>
        <v>197.2362</v>
      </c>
      <c r="G29" s="303">
        <f t="shared" si="21"/>
        <v>30.468</v>
      </c>
      <c r="H29" s="304">
        <f t="shared" si="21"/>
        <v>13.7777</v>
      </c>
      <c r="I29" s="327">
        <f t="shared" si="21"/>
        <v>6.26</v>
      </c>
      <c r="J29" s="303">
        <f t="shared" si="21"/>
        <v>6.26</v>
      </c>
      <c r="K29" s="304">
        <f t="shared" si="21"/>
        <v>0</v>
      </c>
      <c r="L29" s="305">
        <f t="shared" si="21"/>
        <v>0</v>
      </c>
      <c r="M29" s="328" t="s">
        <v>291</v>
      </c>
    </row>
    <row r="30" s="263" customFormat="1" ht="30" customHeight="1" spans="1:13">
      <c r="A30" s="306" t="s">
        <v>298</v>
      </c>
      <c r="B30" s="307" t="s">
        <v>298</v>
      </c>
      <c r="C30" s="308" t="s">
        <v>327</v>
      </c>
      <c r="D30" s="309">
        <f t="shared" ref="D30:D34" si="22">E30+I30</f>
        <v>247.7419</v>
      </c>
      <c r="E30" s="310">
        <f t="shared" si="17"/>
        <v>241.4819</v>
      </c>
      <c r="F30" s="311">
        <v>197.2362</v>
      </c>
      <c r="G30" s="309">
        <v>30.468</v>
      </c>
      <c r="H30" s="310">
        <v>13.7777</v>
      </c>
      <c r="I30" s="329">
        <f t="shared" si="18"/>
        <v>6.26</v>
      </c>
      <c r="J30" s="309">
        <v>6.26</v>
      </c>
      <c r="K30" s="310">
        <v>0</v>
      </c>
      <c r="L30" s="311">
        <v>0</v>
      </c>
      <c r="M30" s="330" t="s">
        <v>328</v>
      </c>
    </row>
    <row r="31" s="263" customFormat="1" ht="22" customHeight="1" spans="1:13">
      <c r="A31" s="300" t="s">
        <v>329</v>
      </c>
      <c r="B31" s="301" t="s">
        <v>330</v>
      </c>
      <c r="C31" s="302"/>
      <c r="D31" s="303">
        <f t="shared" ref="D31:L31" si="23">D32</f>
        <v>12</v>
      </c>
      <c r="E31" s="304">
        <f t="shared" si="23"/>
        <v>0</v>
      </c>
      <c r="F31" s="305">
        <f t="shared" si="23"/>
        <v>0</v>
      </c>
      <c r="G31" s="303">
        <f t="shared" si="23"/>
        <v>0</v>
      </c>
      <c r="H31" s="304">
        <f t="shared" si="23"/>
        <v>0</v>
      </c>
      <c r="I31" s="327">
        <f t="shared" si="23"/>
        <v>12</v>
      </c>
      <c r="J31" s="303">
        <f t="shared" si="23"/>
        <v>12</v>
      </c>
      <c r="K31" s="304">
        <f t="shared" si="23"/>
        <v>0</v>
      </c>
      <c r="L31" s="305">
        <f t="shared" si="23"/>
        <v>0</v>
      </c>
      <c r="M31" s="328" t="s">
        <v>291</v>
      </c>
    </row>
    <row r="32" s="263" customFormat="1" ht="27" customHeight="1" spans="1:13">
      <c r="A32" s="306" t="s">
        <v>298</v>
      </c>
      <c r="B32" s="307" t="s">
        <v>298</v>
      </c>
      <c r="C32" s="308" t="s">
        <v>327</v>
      </c>
      <c r="D32" s="309">
        <f t="shared" si="22"/>
        <v>12</v>
      </c>
      <c r="E32" s="310">
        <f t="shared" ref="E32:E36" si="24">SUBTOTAL(9,F32:H32)</f>
        <v>0</v>
      </c>
      <c r="F32" s="311">
        <v>0</v>
      </c>
      <c r="G32" s="309">
        <v>0</v>
      </c>
      <c r="H32" s="310">
        <v>0</v>
      </c>
      <c r="I32" s="329">
        <f t="shared" ref="I32:I36" si="25">SUBTOTAL(9,J32:L32)</f>
        <v>12</v>
      </c>
      <c r="J32" s="309">
        <v>12</v>
      </c>
      <c r="K32" s="310">
        <v>0</v>
      </c>
      <c r="L32" s="311">
        <v>0</v>
      </c>
      <c r="M32" s="330" t="s">
        <v>331</v>
      </c>
    </row>
    <row r="33" s="263" customFormat="1" ht="22" customHeight="1" spans="1:13">
      <c r="A33" s="300" t="s">
        <v>332</v>
      </c>
      <c r="B33" s="301" t="s">
        <v>333</v>
      </c>
      <c r="C33" s="302"/>
      <c r="D33" s="303">
        <f t="shared" ref="D33:L33" si="26">D34</f>
        <v>1.6</v>
      </c>
      <c r="E33" s="304">
        <f t="shared" si="26"/>
        <v>0</v>
      </c>
      <c r="F33" s="305">
        <f t="shared" si="26"/>
        <v>0</v>
      </c>
      <c r="G33" s="303">
        <f t="shared" si="26"/>
        <v>0</v>
      </c>
      <c r="H33" s="304">
        <f t="shared" si="26"/>
        <v>0</v>
      </c>
      <c r="I33" s="327">
        <f t="shared" si="26"/>
        <v>1.6</v>
      </c>
      <c r="J33" s="303">
        <f t="shared" si="26"/>
        <v>1.6</v>
      </c>
      <c r="K33" s="304">
        <f t="shared" si="26"/>
        <v>0</v>
      </c>
      <c r="L33" s="305">
        <f t="shared" si="26"/>
        <v>0</v>
      </c>
      <c r="M33" s="328" t="s">
        <v>291</v>
      </c>
    </row>
    <row r="34" s="263" customFormat="1" ht="18.75" customHeight="1" spans="1:13">
      <c r="A34" s="306" t="s">
        <v>298</v>
      </c>
      <c r="B34" s="307" t="s">
        <v>298</v>
      </c>
      <c r="C34" s="308" t="s">
        <v>327</v>
      </c>
      <c r="D34" s="309">
        <f t="shared" si="22"/>
        <v>1.6</v>
      </c>
      <c r="E34" s="310">
        <f t="shared" si="24"/>
        <v>0</v>
      </c>
      <c r="F34" s="311">
        <v>0</v>
      </c>
      <c r="G34" s="309">
        <v>0</v>
      </c>
      <c r="H34" s="310">
        <v>0</v>
      </c>
      <c r="I34" s="329">
        <f t="shared" si="25"/>
        <v>1.6</v>
      </c>
      <c r="J34" s="309">
        <v>1.6</v>
      </c>
      <c r="K34" s="310">
        <v>0</v>
      </c>
      <c r="L34" s="311">
        <v>0</v>
      </c>
      <c r="M34" s="330" t="s">
        <v>334</v>
      </c>
    </row>
    <row r="35" s="263" customFormat="1" ht="22" customHeight="1" spans="1:13">
      <c r="A35" s="300" t="s">
        <v>335</v>
      </c>
      <c r="B35" s="301" t="s">
        <v>336</v>
      </c>
      <c r="C35" s="302"/>
      <c r="D35" s="303">
        <f t="shared" ref="D35:L35" si="27">D36</f>
        <v>34.4</v>
      </c>
      <c r="E35" s="304">
        <f t="shared" si="27"/>
        <v>0</v>
      </c>
      <c r="F35" s="305">
        <f t="shared" si="27"/>
        <v>0</v>
      </c>
      <c r="G35" s="303">
        <f t="shared" si="27"/>
        <v>0</v>
      </c>
      <c r="H35" s="304">
        <f t="shared" si="27"/>
        <v>0</v>
      </c>
      <c r="I35" s="327">
        <f t="shared" si="27"/>
        <v>34.4</v>
      </c>
      <c r="J35" s="303">
        <f t="shared" si="27"/>
        <v>34.4</v>
      </c>
      <c r="K35" s="304">
        <f t="shared" si="27"/>
        <v>0</v>
      </c>
      <c r="L35" s="305">
        <f t="shared" si="27"/>
        <v>0</v>
      </c>
      <c r="M35" s="328" t="s">
        <v>291</v>
      </c>
    </row>
    <row r="36" s="263" customFormat="1" ht="25" customHeight="1" spans="1:13">
      <c r="A36" s="306" t="s">
        <v>298</v>
      </c>
      <c r="B36" s="307" t="s">
        <v>298</v>
      </c>
      <c r="C36" s="308" t="s">
        <v>327</v>
      </c>
      <c r="D36" s="309">
        <f t="shared" ref="D36:D40" si="28">E36+I36</f>
        <v>34.4</v>
      </c>
      <c r="E36" s="310">
        <f t="shared" si="24"/>
        <v>0</v>
      </c>
      <c r="F36" s="311">
        <v>0</v>
      </c>
      <c r="G36" s="309">
        <v>0</v>
      </c>
      <c r="H36" s="310">
        <v>0</v>
      </c>
      <c r="I36" s="329">
        <f t="shared" si="25"/>
        <v>34.4</v>
      </c>
      <c r="J36" s="309">
        <v>34.4</v>
      </c>
      <c r="K36" s="310">
        <v>0</v>
      </c>
      <c r="L36" s="311">
        <v>0</v>
      </c>
      <c r="M36" s="330" t="s">
        <v>337</v>
      </c>
    </row>
    <row r="37" s="263" customFormat="1" ht="22" customHeight="1" spans="1:13">
      <c r="A37" s="300" t="s">
        <v>338</v>
      </c>
      <c r="B37" s="301" t="s">
        <v>339</v>
      </c>
      <c r="C37" s="302"/>
      <c r="D37" s="303">
        <f t="shared" ref="D37:L37" si="29">D38</f>
        <v>30.4</v>
      </c>
      <c r="E37" s="304">
        <f t="shared" si="29"/>
        <v>0</v>
      </c>
      <c r="F37" s="305">
        <f t="shared" si="29"/>
        <v>0</v>
      </c>
      <c r="G37" s="303">
        <f t="shared" si="29"/>
        <v>0</v>
      </c>
      <c r="H37" s="304">
        <f t="shared" si="29"/>
        <v>0</v>
      </c>
      <c r="I37" s="327">
        <f t="shared" si="29"/>
        <v>30.4</v>
      </c>
      <c r="J37" s="303">
        <f t="shared" si="29"/>
        <v>30.4</v>
      </c>
      <c r="K37" s="304">
        <f t="shared" si="29"/>
        <v>0</v>
      </c>
      <c r="L37" s="305">
        <f t="shared" si="29"/>
        <v>0</v>
      </c>
      <c r="M37" s="328" t="s">
        <v>291</v>
      </c>
    </row>
    <row r="38" s="263" customFormat="1" ht="18.75" customHeight="1" spans="1:13">
      <c r="A38" s="306" t="s">
        <v>298</v>
      </c>
      <c r="B38" s="307" t="s">
        <v>298</v>
      </c>
      <c r="C38" s="308" t="s">
        <v>327</v>
      </c>
      <c r="D38" s="309">
        <f t="shared" si="28"/>
        <v>30.4</v>
      </c>
      <c r="E38" s="310">
        <f t="shared" ref="E38:E52" si="30">SUBTOTAL(9,F38:H38)</f>
        <v>0</v>
      </c>
      <c r="F38" s="311">
        <v>0</v>
      </c>
      <c r="G38" s="309">
        <v>0</v>
      </c>
      <c r="H38" s="310">
        <v>0</v>
      </c>
      <c r="I38" s="329">
        <f t="shared" ref="I38:I52" si="31">SUBTOTAL(9,J38:L38)</f>
        <v>30.4</v>
      </c>
      <c r="J38" s="309">
        <v>30.4</v>
      </c>
      <c r="K38" s="310">
        <v>0</v>
      </c>
      <c r="L38" s="311">
        <v>0</v>
      </c>
      <c r="M38" s="330" t="s">
        <v>340</v>
      </c>
    </row>
    <row r="39" s="263" customFormat="1" ht="22" customHeight="1" spans="1:13">
      <c r="A39" s="300" t="s">
        <v>341</v>
      </c>
      <c r="B39" s="301" t="s">
        <v>342</v>
      </c>
      <c r="C39" s="302"/>
      <c r="D39" s="303">
        <f t="shared" ref="D39:L39" si="32">D40</f>
        <v>40</v>
      </c>
      <c r="E39" s="304">
        <f t="shared" si="32"/>
        <v>0</v>
      </c>
      <c r="F39" s="305">
        <f t="shared" si="32"/>
        <v>0</v>
      </c>
      <c r="G39" s="303">
        <f t="shared" si="32"/>
        <v>0</v>
      </c>
      <c r="H39" s="304">
        <f t="shared" si="32"/>
        <v>0</v>
      </c>
      <c r="I39" s="327">
        <f t="shared" si="32"/>
        <v>40</v>
      </c>
      <c r="J39" s="303">
        <f t="shared" si="32"/>
        <v>40</v>
      </c>
      <c r="K39" s="304">
        <f t="shared" si="32"/>
        <v>0</v>
      </c>
      <c r="L39" s="305">
        <f t="shared" si="32"/>
        <v>0</v>
      </c>
      <c r="M39" s="328" t="s">
        <v>291</v>
      </c>
    </row>
    <row r="40" s="263" customFormat="1" ht="27" customHeight="1" spans="1:13">
      <c r="A40" s="306" t="s">
        <v>298</v>
      </c>
      <c r="B40" s="307" t="s">
        <v>298</v>
      </c>
      <c r="C40" s="308" t="s">
        <v>327</v>
      </c>
      <c r="D40" s="309">
        <f t="shared" si="28"/>
        <v>40</v>
      </c>
      <c r="E40" s="310">
        <f t="shared" si="30"/>
        <v>0</v>
      </c>
      <c r="F40" s="311">
        <v>0</v>
      </c>
      <c r="G40" s="309">
        <v>0</v>
      </c>
      <c r="H40" s="310">
        <v>0</v>
      </c>
      <c r="I40" s="329">
        <f t="shared" si="31"/>
        <v>40</v>
      </c>
      <c r="J40" s="309">
        <v>40</v>
      </c>
      <c r="K40" s="310">
        <v>0</v>
      </c>
      <c r="L40" s="311">
        <v>0</v>
      </c>
      <c r="M40" s="330" t="s">
        <v>343</v>
      </c>
    </row>
    <row r="41" s="263" customFormat="1" ht="27" customHeight="1" spans="1:13">
      <c r="A41" s="294" t="s">
        <v>344</v>
      </c>
      <c r="B41" s="295" t="s">
        <v>345</v>
      </c>
      <c r="C41" s="296"/>
      <c r="D41" s="297">
        <f t="shared" ref="D41:L41" si="33">D42+D55+D57+D59+D61</f>
        <v>8129.0996</v>
      </c>
      <c r="E41" s="298">
        <f t="shared" si="33"/>
        <v>6388.3186</v>
      </c>
      <c r="F41" s="299">
        <f t="shared" si="33"/>
        <v>5281.9746</v>
      </c>
      <c r="G41" s="297">
        <f t="shared" si="33"/>
        <v>769.244</v>
      </c>
      <c r="H41" s="298">
        <f t="shared" si="33"/>
        <v>337.1</v>
      </c>
      <c r="I41" s="325">
        <f t="shared" si="33"/>
        <v>1740.781</v>
      </c>
      <c r="J41" s="297">
        <f t="shared" si="33"/>
        <v>1740.781</v>
      </c>
      <c r="K41" s="298">
        <f t="shared" si="33"/>
        <v>0</v>
      </c>
      <c r="L41" s="299">
        <f t="shared" si="33"/>
        <v>0</v>
      </c>
      <c r="M41" s="326" t="s">
        <v>291</v>
      </c>
    </row>
    <row r="42" s="263" customFormat="1" ht="36" customHeight="1" spans="1:13">
      <c r="A42" s="300" t="s">
        <v>346</v>
      </c>
      <c r="B42" s="301" t="s">
        <v>347</v>
      </c>
      <c r="C42" s="302"/>
      <c r="D42" s="303">
        <f t="shared" ref="D42:L42" si="34">SUM(D43:D54)</f>
        <v>6996.7341</v>
      </c>
      <c r="E42" s="304">
        <f t="shared" si="34"/>
        <v>6091.1031</v>
      </c>
      <c r="F42" s="305">
        <f t="shared" si="34"/>
        <v>5026.0001</v>
      </c>
      <c r="G42" s="303">
        <f t="shared" si="34"/>
        <v>731.741</v>
      </c>
      <c r="H42" s="304">
        <f t="shared" si="34"/>
        <v>333.362</v>
      </c>
      <c r="I42" s="327">
        <f t="shared" si="34"/>
        <v>905.631</v>
      </c>
      <c r="J42" s="303">
        <f t="shared" si="34"/>
        <v>905.631</v>
      </c>
      <c r="K42" s="304">
        <f t="shared" si="34"/>
        <v>0</v>
      </c>
      <c r="L42" s="305">
        <f t="shared" si="34"/>
        <v>0</v>
      </c>
      <c r="M42" s="328" t="s">
        <v>291</v>
      </c>
    </row>
    <row r="43" s="263" customFormat="1" ht="102" customHeight="1" spans="1:13">
      <c r="A43" s="306" t="s">
        <v>298</v>
      </c>
      <c r="B43" s="307" t="s">
        <v>298</v>
      </c>
      <c r="C43" s="308" t="s">
        <v>348</v>
      </c>
      <c r="D43" s="309">
        <f t="shared" ref="D43:D54" si="35">E43+I43</f>
        <v>516.0033</v>
      </c>
      <c r="E43" s="310">
        <f t="shared" si="30"/>
        <v>311.3853</v>
      </c>
      <c r="F43" s="311">
        <v>257.6239</v>
      </c>
      <c r="G43" s="309">
        <v>41.148</v>
      </c>
      <c r="H43" s="310">
        <v>12.6134</v>
      </c>
      <c r="I43" s="329">
        <f t="shared" si="31"/>
        <v>204.618</v>
      </c>
      <c r="J43" s="309">
        <v>204.618</v>
      </c>
      <c r="K43" s="310">
        <v>0</v>
      </c>
      <c r="L43" s="311">
        <v>0</v>
      </c>
      <c r="M43" s="330" t="s">
        <v>349</v>
      </c>
    </row>
    <row r="44" s="263" customFormat="1" ht="141" customHeight="1" spans="1:13">
      <c r="A44" s="306" t="s">
        <v>298</v>
      </c>
      <c r="B44" s="307" t="s">
        <v>298</v>
      </c>
      <c r="C44" s="308" t="s">
        <v>350</v>
      </c>
      <c r="D44" s="309">
        <f t="shared" si="35"/>
        <v>70.1556</v>
      </c>
      <c r="E44" s="310">
        <f t="shared" si="30"/>
        <v>60.0456</v>
      </c>
      <c r="F44" s="311">
        <v>48.6616</v>
      </c>
      <c r="G44" s="309">
        <v>6.29</v>
      </c>
      <c r="H44" s="310">
        <v>5.094</v>
      </c>
      <c r="I44" s="329">
        <f t="shared" si="31"/>
        <v>10.11</v>
      </c>
      <c r="J44" s="309">
        <v>10.11</v>
      </c>
      <c r="K44" s="310">
        <v>0</v>
      </c>
      <c r="L44" s="311">
        <v>0</v>
      </c>
      <c r="M44" s="330" t="s">
        <v>351</v>
      </c>
    </row>
    <row r="45" s="263" customFormat="1" ht="84" customHeight="1" spans="1:13">
      <c r="A45" s="306" t="s">
        <v>298</v>
      </c>
      <c r="B45" s="307" t="s">
        <v>298</v>
      </c>
      <c r="C45" s="308" t="s">
        <v>352</v>
      </c>
      <c r="D45" s="309">
        <f t="shared" si="35"/>
        <v>191.6464</v>
      </c>
      <c r="E45" s="310">
        <f t="shared" si="30"/>
        <v>166.3964</v>
      </c>
      <c r="F45" s="311">
        <v>148.6477</v>
      </c>
      <c r="G45" s="309">
        <v>14.514</v>
      </c>
      <c r="H45" s="310">
        <v>3.2347</v>
      </c>
      <c r="I45" s="329">
        <f t="shared" si="31"/>
        <v>25.25</v>
      </c>
      <c r="J45" s="309">
        <f>21.65+3.6</f>
        <v>25.25</v>
      </c>
      <c r="K45" s="310">
        <v>0</v>
      </c>
      <c r="L45" s="311">
        <v>0</v>
      </c>
      <c r="M45" s="330" t="s">
        <v>353</v>
      </c>
    </row>
    <row r="46" s="263" customFormat="1" ht="40" customHeight="1" spans="1:13">
      <c r="A46" s="306" t="s">
        <v>298</v>
      </c>
      <c r="B46" s="307" t="s">
        <v>298</v>
      </c>
      <c r="C46" s="308" t="s">
        <v>354</v>
      </c>
      <c r="D46" s="309">
        <f t="shared" si="35"/>
        <v>61.4303</v>
      </c>
      <c r="E46" s="310">
        <f t="shared" si="30"/>
        <v>55.4203</v>
      </c>
      <c r="F46" s="311">
        <v>48.2663</v>
      </c>
      <c r="G46" s="309">
        <v>6.53</v>
      </c>
      <c r="H46" s="310">
        <v>0.624</v>
      </c>
      <c r="I46" s="329">
        <f t="shared" si="31"/>
        <v>6.01</v>
      </c>
      <c r="J46" s="309">
        <v>6.01</v>
      </c>
      <c r="K46" s="310">
        <v>0</v>
      </c>
      <c r="L46" s="311">
        <v>0</v>
      </c>
      <c r="M46" s="330" t="s">
        <v>355</v>
      </c>
    </row>
    <row r="47" s="263" customFormat="1" ht="43" customHeight="1" spans="1:13">
      <c r="A47" s="306" t="s">
        <v>298</v>
      </c>
      <c r="B47" s="307" t="s">
        <v>298</v>
      </c>
      <c r="C47" s="308" t="s">
        <v>356</v>
      </c>
      <c r="D47" s="309">
        <f t="shared" si="35"/>
        <v>65.2689</v>
      </c>
      <c r="E47" s="310">
        <f t="shared" si="30"/>
        <v>56.6189</v>
      </c>
      <c r="F47" s="311">
        <v>45.2169</v>
      </c>
      <c r="G47" s="309">
        <v>6.53</v>
      </c>
      <c r="H47" s="310">
        <v>4.872</v>
      </c>
      <c r="I47" s="329">
        <f t="shared" si="31"/>
        <v>8.65</v>
      </c>
      <c r="J47" s="309">
        <v>8.65</v>
      </c>
      <c r="K47" s="310">
        <v>0</v>
      </c>
      <c r="L47" s="311">
        <v>0</v>
      </c>
      <c r="M47" s="330" t="s">
        <v>357</v>
      </c>
    </row>
    <row r="48" s="263" customFormat="1" ht="30" customHeight="1" spans="1:13">
      <c r="A48" s="306" t="s">
        <v>298</v>
      </c>
      <c r="B48" s="307" t="s">
        <v>298</v>
      </c>
      <c r="C48" s="312" t="s">
        <v>358</v>
      </c>
      <c r="D48" s="309">
        <f t="shared" si="35"/>
        <v>491.4017</v>
      </c>
      <c r="E48" s="310">
        <f t="shared" si="30"/>
        <v>491.4017</v>
      </c>
      <c r="F48" s="311">
        <v>314.1008</v>
      </c>
      <c r="G48" s="309">
        <v>159.847</v>
      </c>
      <c r="H48" s="310">
        <v>17.4539</v>
      </c>
      <c r="I48" s="329">
        <f t="shared" si="31"/>
        <v>0</v>
      </c>
      <c r="J48" s="309">
        <v>0</v>
      </c>
      <c r="K48" s="310">
        <v>0</v>
      </c>
      <c r="L48" s="311">
        <v>0</v>
      </c>
      <c r="M48" s="330" t="s">
        <v>291</v>
      </c>
    </row>
    <row r="49" s="263" customFormat="1" ht="143" customHeight="1" spans="1:13">
      <c r="A49" s="306" t="s">
        <v>298</v>
      </c>
      <c r="B49" s="307" t="s">
        <v>298</v>
      </c>
      <c r="C49" s="308" t="s">
        <v>359</v>
      </c>
      <c r="D49" s="309">
        <f t="shared" si="35"/>
        <v>260.576</v>
      </c>
      <c r="E49" s="310">
        <f t="shared" si="30"/>
        <v>99.816</v>
      </c>
      <c r="F49" s="311">
        <v>89.998</v>
      </c>
      <c r="G49" s="309">
        <v>9.212</v>
      </c>
      <c r="H49" s="310">
        <v>0.606</v>
      </c>
      <c r="I49" s="329">
        <f t="shared" si="31"/>
        <v>160.76</v>
      </c>
      <c r="J49" s="309">
        <v>160.76</v>
      </c>
      <c r="K49" s="310">
        <v>0</v>
      </c>
      <c r="L49" s="311">
        <v>0</v>
      </c>
      <c r="M49" s="330" t="s">
        <v>360</v>
      </c>
    </row>
    <row r="50" s="263" customFormat="1" ht="27" customHeight="1" spans="1:13">
      <c r="A50" s="306" t="s">
        <v>298</v>
      </c>
      <c r="B50" s="307" t="s">
        <v>298</v>
      </c>
      <c r="C50" s="308" t="s">
        <v>361</v>
      </c>
      <c r="D50" s="309">
        <f t="shared" si="35"/>
        <v>49.5096</v>
      </c>
      <c r="E50" s="310">
        <f t="shared" si="30"/>
        <v>47.3496</v>
      </c>
      <c r="F50" s="311">
        <v>40.7696</v>
      </c>
      <c r="G50" s="309">
        <v>5.98</v>
      </c>
      <c r="H50" s="310">
        <v>0.6</v>
      </c>
      <c r="I50" s="329">
        <f t="shared" si="31"/>
        <v>2.16</v>
      </c>
      <c r="J50" s="309">
        <v>2.16</v>
      </c>
      <c r="K50" s="310">
        <v>0</v>
      </c>
      <c r="L50" s="311">
        <v>0</v>
      </c>
      <c r="M50" s="330" t="s">
        <v>362</v>
      </c>
    </row>
    <row r="51" s="263" customFormat="1" ht="27" customHeight="1" spans="1:13">
      <c r="A51" s="306" t="s">
        <v>298</v>
      </c>
      <c r="B51" s="307" t="s">
        <v>298</v>
      </c>
      <c r="C51" s="308" t="s">
        <v>363</v>
      </c>
      <c r="D51" s="309">
        <f t="shared" si="35"/>
        <v>99.645</v>
      </c>
      <c r="E51" s="310">
        <f t="shared" si="30"/>
        <v>99.645</v>
      </c>
      <c r="F51" s="311">
        <v>88.107</v>
      </c>
      <c r="G51" s="309">
        <v>9.036</v>
      </c>
      <c r="H51" s="310">
        <v>2.502</v>
      </c>
      <c r="I51" s="329">
        <f t="shared" si="31"/>
        <v>0</v>
      </c>
      <c r="J51" s="309">
        <v>0</v>
      </c>
      <c r="K51" s="310">
        <v>0</v>
      </c>
      <c r="L51" s="311">
        <v>0</v>
      </c>
      <c r="M51" s="330" t="s">
        <v>291</v>
      </c>
    </row>
    <row r="52" s="263" customFormat="1" ht="31" customHeight="1" spans="1:13">
      <c r="A52" s="306" t="s">
        <v>298</v>
      </c>
      <c r="B52" s="307" t="s">
        <v>298</v>
      </c>
      <c r="C52" s="312" t="s">
        <v>364</v>
      </c>
      <c r="D52" s="309">
        <f t="shared" si="35"/>
        <v>49.0569</v>
      </c>
      <c r="E52" s="310">
        <f t="shared" si="30"/>
        <v>49.0569</v>
      </c>
      <c r="F52" s="311">
        <v>47.2949</v>
      </c>
      <c r="G52" s="309">
        <v>1.75</v>
      </c>
      <c r="H52" s="310">
        <v>0.012</v>
      </c>
      <c r="I52" s="329">
        <f t="shared" si="31"/>
        <v>0</v>
      </c>
      <c r="J52" s="309">
        <v>0</v>
      </c>
      <c r="K52" s="310">
        <v>0</v>
      </c>
      <c r="L52" s="311">
        <v>0</v>
      </c>
      <c r="M52" s="330" t="s">
        <v>291</v>
      </c>
    </row>
    <row r="53" s="263" customFormat="1" ht="81" customHeight="1" spans="1:13">
      <c r="A53" s="306"/>
      <c r="B53" s="307"/>
      <c r="C53" s="308" t="s">
        <v>301</v>
      </c>
      <c r="D53" s="309">
        <f t="shared" si="35"/>
        <v>5142.0404</v>
      </c>
      <c r="E53" s="310">
        <f>SUM(F53:H53)</f>
        <v>4653.9674</v>
      </c>
      <c r="F53" s="310">
        <v>3897.3134</v>
      </c>
      <c r="G53" s="310">
        <v>470.904</v>
      </c>
      <c r="H53" s="310">
        <v>285.75</v>
      </c>
      <c r="I53" s="329">
        <f>J53+K53+L53</f>
        <v>488.073</v>
      </c>
      <c r="J53" s="309">
        <v>488.073</v>
      </c>
      <c r="K53" s="310"/>
      <c r="L53" s="311"/>
      <c r="M53" s="330" t="s">
        <v>365</v>
      </c>
    </row>
    <row r="54" s="263" customFormat="1" ht="27" hidden="1" customHeight="1" spans="1:13">
      <c r="A54" s="306" t="s">
        <v>298</v>
      </c>
      <c r="B54" s="307" t="s">
        <v>298</v>
      </c>
      <c r="C54" s="308"/>
      <c r="D54" s="309">
        <f t="shared" si="35"/>
        <v>0</v>
      </c>
      <c r="E54" s="310">
        <f t="shared" ref="E54:E58" si="36">SUBTOTAL(9,F54:H54)</f>
        <v>0</v>
      </c>
      <c r="F54" s="311">
        <v>0</v>
      </c>
      <c r="G54" s="309">
        <v>0</v>
      </c>
      <c r="H54" s="310">
        <v>0</v>
      </c>
      <c r="I54" s="329">
        <f t="shared" ref="I54:I58" si="37">SUBTOTAL(9,J54:L54)</f>
        <v>0</v>
      </c>
      <c r="J54" s="309"/>
      <c r="K54" s="310">
        <v>0</v>
      </c>
      <c r="L54" s="311">
        <v>0</v>
      </c>
      <c r="M54" s="330"/>
    </row>
    <row r="55" s="263" customFormat="1" ht="36" customHeight="1" spans="1:13">
      <c r="A55" s="300" t="s">
        <v>366</v>
      </c>
      <c r="B55" s="301" t="s">
        <v>367</v>
      </c>
      <c r="C55" s="302"/>
      <c r="D55" s="303">
        <f t="shared" ref="D55:L55" si="38">D56</f>
        <v>177.13</v>
      </c>
      <c r="E55" s="304">
        <f t="shared" si="38"/>
        <v>0</v>
      </c>
      <c r="F55" s="305">
        <f t="shared" si="38"/>
        <v>0</v>
      </c>
      <c r="G55" s="303">
        <f t="shared" si="38"/>
        <v>0</v>
      </c>
      <c r="H55" s="304">
        <f t="shared" si="38"/>
        <v>0</v>
      </c>
      <c r="I55" s="327">
        <f t="shared" si="38"/>
        <v>177.13</v>
      </c>
      <c r="J55" s="303">
        <f t="shared" si="38"/>
        <v>177.13</v>
      </c>
      <c r="K55" s="304">
        <f t="shared" si="38"/>
        <v>0</v>
      </c>
      <c r="L55" s="305">
        <f t="shared" si="38"/>
        <v>0</v>
      </c>
      <c r="M55" s="328" t="s">
        <v>291</v>
      </c>
    </row>
    <row r="56" s="263" customFormat="1" ht="162" customHeight="1" spans="1:13">
      <c r="A56" s="306" t="s">
        <v>298</v>
      </c>
      <c r="B56" s="307" t="s">
        <v>298</v>
      </c>
      <c r="C56" s="308" t="s">
        <v>358</v>
      </c>
      <c r="D56" s="309">
        <f t="shared" ref="D56:D60" si="39">E56+I56</f>
        <v>177.13</v>
      </c>
      <c r="E56" s="310">
        <f t="shared" si="36"/>
        <v>0</v>
      </c>
      <c r="F56" s="311">
        <v>0</v>
      </c>
      <c r="G56" s="309">
        <v>0</v>
      </c>
      <c r="H56" s="310">
        <v>0</v>
      </c>
      <c r="I56" s="329">
        <f t="shared" si="37"/>
        <v>177.13</v>
      </c>
      <c r="J56" s="309">
        <v>177.13</v>
      </c>
      <c r="K56" s="310">
        <v>0</v>
      </c>
      <c r="L56" s="311">
        <v>0</v>
      </c>
      <c r="M56" s="330" t="s">
        <v>368</v>
      </c>
    </row>
    <row r="57" s="263" customFormat="1" ht="22" customHeight="1" spans="1:13">
      <c r="A57" s="300" t="s">
        <v>369</v>
      </c>
      <c r="B57" s="301" t="s">
        <v>370</v>
      </c>
      <c r="C57" s="302"/>
      <c r="D57" s="303">
        <f t="shared" ref="D57:L57" si="40">D58</f>
        <v>30.91</v>
      </c>
      <c r="E57" s="304">
        <f t="shared" si="40"/>
        <v>0</v>
      </c>
      <c r="F57" s="305">
        <f t="shared" si="40"/>
        <v>0</v>
      </c>
      <c r="G57" s="303">
        <f t="shared" si="40"/>
        <v>0</v>
      </c>
      <c r="H57" s="304">
        <f t="shared" si="40"/>
        <v>0</v>
      </c>
      <c r="I57" s="327">
        <f t="shared" si="40"/>
        <v>30.91</v>
      </c>
      <c r="J57" s="303">
        <f t="shared" si="40"/>
        <v>30.91</v>
      </c>
      <c r="K57" s="304">
        <f t="shared" si="40"/>
        <v>0</v>
      </c>
      <c r="L57" s="305">
        <f t="shared" si="40"/>
        <v>0</v>
      </c>
      <c r="M57" s="328" t="s">
        <v>291</v>
      </c>
    </row>
    <row r="58" s="263" customFormat="1" ht="66" customHeight="1" spans="1:13">
      <c r="A58" s="306" t="s">
        <v>298</v>
      </c>
      <c r="B58" s="307" t="s">
        <v>298</v>
      </c>
      <c r="C58" s="308" t="s">
        <v>363</v>
      </c>
      <c r="D58" s="309">
        <f t="shared" si="39"/>
        <v>30.91</v>
      </c>
      <c r="E58" s="310">
        <f t="shared" si="36"/>
        <v>0</v>
      </c>
      <c r="F58" s="311">
        <v>0</v>
      </c>
      <c r="G58" s="309">
        <v>0</v>
      </c>
      <c r="H58" s="310">
        <v>0</v>
      </c>
      <c r="I58" s="329">
        <f t="shared" si="37"/>
        <v>30.91</v>
      </c>
      <c r="J58" s="309">
        <v>30.91</v>
      </c>
      <c r="K58" s="310">
        <v>0</v>
      </c>
      <c r="L58" s="311">
        <v>0</v>
      </c>
      <c r="M58" s="330" t="s">
        <v>371</v>
      </c>
    </row>
    <row r="59" s="263" customFormat="1" ht="39" customHeight="1" spans="1:13">
      <c r="A59" s="300" t="s">
        <v>372</v>
      </c>
      <c r="B59" s="301" t="s">
        <v>373</v>
      </c>
      <c r="C59" s="302"/>
      <c r="D59" s="303">
        <f t="shared" ref="D59:L59" si="41">D60</f>
        <v>100.5876</v>
      </c>
      <c r="E59" s="304">
        <f t="shared" si="41"/>
        <v>100.4776</v>
      </c>
      <c r="F59" s="305">
        <f t="shared" si="41"/>
        <v>87.0826</v>
      </c>
      <c r="G59" s="303">
        <f t="shared" si="41"/>
        <v>9.663</v>
      </c>
      <c r="H59" s="304">
        <f t="shared" si="41"/>
        <v>3.732</v>
      </c>
      <c r="I59" s="327">
        <f t="shared" si="41"/>
        <v>0.11</v>
      </c>
      <c r="J59" s="303">
        <f t="shared" si="41"/>
        <v>0.11</v>
      </c>
      <c r="K59" s="304">
        <f t="shared" si="41"/>
        <v>0</v>
      </c>
      <c r="L59" s="305">
        <f t="shared" si="41"/>
        <v>0</v>
      </c>
      <c r="M59" s="328" t="s">
        <v>291</v>
      </c>
    </row>
    <row r="60" s="263" customFormat="1" ht="18.75" customHeight="1" spans="1:13">
      <c r="A60" s="306" t="s">
        <v>298</v>
      </c>
      <c r="B60" s="307" t="s">
        <v>298</v>
      </c>
      <c r="C60" s="308" t="s">
        <v>374</v>
      </c>
      <c r="D60" s="309">
        <f t="shared" si="39"/>
        <v>100.5876</v>
      </c>
      <c r="E60" s="310">
        <f>SUBTOTAL(9,F60:H60)</f>
        <v>100.4776</v>
      </c>
      <c r="F60" s="311">
        <v>87.0826</v>
      </c>
      <c r="G60" s="309">
        <v>9.663</v>
      </c>
      <c r="H60" s="310">
        <v>3.732</v>
      </c>
      <c r="I60" s="329">
        <f>SUBTOTAL(9,J60:L60)</f>
        <v>0.11</v>
      </c>
      <c r="J60" s="309">
        <v>0.11</v>
      </c>
      <c r="K60" s="310">
        <v>0</v>
      </c>
      <c r="L60" s="311">
        <v>0</v>
      </c>
      <c r="M60" s="330" t="s">
        <v>375</v>
      </c>
    </row>
    <row r="61" s="263" customFormat="1" ht="38" customHeight="1" spans="1:13">
      <c r="A61" s="300" t="s">
        <v>376</v>
      </c>
      <c r="B61" s="301" t="s">
        <v>377</v>
      </c>
      <c r="C61" s="302"/>
      <c r="D61" s="303">
        <f t="shared" ref="D61:L61" si="42">SUM(D62:D64)</f>
        <v>823.7379</v>
      </c>
      <c r="E61" s="304">
        <f t="shared" si="42"/>
        <v>196.7379</v>
      </c>
      <c r="F61" s="305">
        <f t="shared" si="42"/>
        <v>168.8919</v>
      </c>
      <c r="G61" s="303">
        <f t="shared" si="42"/>
        <v>27.84</v>
      </c>
      <c r="H61" s="304">
        <f t="shared" si="42"/>
        <v>0.006</v>
      </c>
      <c r="I61" s="327">
        <f t="shared" si="42"/>
        <v>627</v>
      </c>
      <c r="J61" s="303">
        <f t="shared" si="42"/>
        <v>627</v>
      </c>
      <c r="K61" s="304">
        <f t="shared" si="42"/>
        <v>0</v>
      </c>
      <c r="L61" s="305">
        <f t="shared" si="42"/>
        <v>0</v>
      </c>
      <c r="M61" s="328" t="s">
        <v>291</v>
      </c>
    </row>
    <row r="62" s="263" customFormat="1" ht="39" customHeight="1" spans="1:13">
      <c r="A62" s="306" t="s">
        <v>298</v>
      </c>
      <c r="B62" s="307" t="s">
        <v>298</v>
      </c>
      <c r="C62" s="308" t="s">
        <v>378</v>
      </c>
      <c r="D62" s="309">
        <f>E62+I62</f>
        <v>176</v>
      </c>
      <c r="E62" s="310">
        <f>SUBTOTAL(9,F62:H62)</f>
        <v>0</v>
      </c>
      <c r="F62" s="311">
        <v>0</v>
      </c>
      <c r="G62" s="309">
        <v>0</v>
      </c>
      <c r="H62" s="310">
        <v>0</v>
      </c>
      <c r="I62" s="329">
        <f>SUBTOTAL(9,J62:L62)</f>
        <v>176</v>
      </c>
      <c r="J62" s="309">
        <v>176</v>
      </c>
      <c r="K62" s="310">
        <v>0</v>
      </c>
      <c r="L62" s="311">
        <v>0</v>
      </c>
      <c r="M62" s="330" t="s">
        <v>379</v>
      </c>
    </row>
    <row r="63" s="263" customFormat="1" ht="192" customHeight="1" spans="1:13">
      <c r="A63" s="306" t="s">
        <v>298</v>
      </c>
      <c r="B63" s="307" t="s">
        <v>298</v>
      </c>
      <c r="C63" s="313" t="s">
        <v>380</v>
      </c>
      <c r="D63" s="309">
        <f>E63+I63</f>
        <v>397.7379</v>
      </c>
      <c r="E63" s="310">
        <f>SUBTOTAL(9,F63:H63)</f>
        <v>196.7379</v>
      </c>
      <c r="F63" s="311">
        <v>168.8919</v>
      </c>
      <c r="G63" s="309">
        <v>27.84</v>
      </c>
      <c r="H63" s="310">
        <v>0.006</v>
      </c>
      <c r="I63" s="329">
        <f>SUBTOTAL(9,J63:L63)</f>
        <v>201</v>
      </c>
      <c r="J63" s="309">
        <f>377-176</f>
        <v>201</v>
      </c>
      <c r="K63" s="310">
        <v>0</v>
      </c>
      <c r="L63" s="311">
        <v>0</v>
      </c>
      <c r="M63" s="330" t="s">
        <v>381</v>
      </c>
    </row>
    <row r="64" s="263" customFormat="1" ht="27" customHeight="1" spans="1:13">
      <c r="A64" s="306" t="s">
        <v>298</v>
      </c>
      <c r="B64" s="307" t="s">
        <v>298</v>
      </c>
      <c r="C64" s="308"/>
      <c r="D64" s="309">
        <f>E64+I64</f>
        <v>250</v>
      </c>
      <c r="E64" s="310">
        <f>SUBTOTAL(9,F64:H64)</f>
        <v>0</v>
      </c>
      <c r="F64" s="311">
        <v>0</v>
      </c>
      <c r="G64" s="309">
        <v>0</v>
      </c>
      <c r="H64" s="310">
        <v>0</v>
      </c>
      <c r="I64" s="329">
        <f>SUBTOTAL(9,J64:L64)</f>
        <v>250</v>
      </c>
      <c r="J64" s="309">
        <f>50+200</f>
        <v>250</v>
      </c>
      <c r="K64" s="310">
        <v>0</v>
      </c>
      <c r="L64" s="311">
        <v>0</v>
      </c>
      <c r="M64" s="330" t="s">
        <v>382</v>
      </c>
    </row>
    <row r="65" s="263" customFormat="1" ht="27" customHeight="1" spans="1:13">
      <c r="A65" s="294" t="s">
        <v>383</v>
      </c>
      <c r="B65" s="295" t="s">
        <v>384</v>
      </c>
      <c r="C65" s="296"/>
      <c r="D65" s="297">
        <f t="shared" ref="D65:L65" si="43">D66+D68+D70</f>
        <v>340.3755</v>
      </c>
      <c r="E65" s="298">
        <f t="shared" si="43"/>
        <v>274.6455</v>
      </c>
      <c r="F65" s="299">
        <f t="shared" si="43"/>
        <v>233.5259</v>
      </c>
      <c r="G65" s="297">
        <f t="shared" si="43"/>
        <v>26.808</v>
      </c>
      <c r="H65" s="298">
        <f t="shared" si="43"/>
        <v>14.3116</v>
      </c>
      <c r="I65" s="325">
        <f t="shared" si="43"/>
        <v>65.73</v>
      </c>
      <c r="J65" s="297">
        <f t="shared" si="43"/>
        <v>65.73</v>
      </c>
      <c r="K65" s="298">
        <f t="shared" si="43"/>
        <v>0</v>
      </c>
      <c r="L65" s="299">
        <f t="shared" si="43"/>
        <v>0</v>
      </c>
      <c r="M65" s="326" t="s">
        <v>291</v>
      </c>
    </row>
    <row r="66" s="263" customFormat="1" ht="27" customHeight="1" spans="1:13">
      <c r="A66" s="300" t="s">
        <v>385</v>
      </c>
      <c r="B66" s="301" t="s">
        <v>386</v>
      </c>
      <c r="C66" s="302"/>
      <c r="D66" s="303">
        <f t="shared" ref="D66:L66" si="44">D67</f>
        <v>274.6455</v>
      </c>
      <c r="E66" s="304">
        <f t="shared" si="44"/>
        <v>274.6455</v>
      </c>
      <c r="F66" s="305">
        <f t="shared" si="44"/>
        <v>233.5259</v>
      </c>
      <c r="G66" s="303">
        <f t="shared" si="44"/>
        <v>26.808</v>
      </c>
      <c r="H66" s="304">
        <f t="shared" si="44"/>
        <v>14.3116</v>
      </c>
      <c r="I66" s="327">
        <f t="shared" si="44"/>
        <v>0</v>
      </c>
      <c r="J66" s="303">
        <f t="shared" si="44"/>
        <v>0</v>
      </c>
      <c r="K66" s="304">
        <f t="shared" si="44"/>
        <v>0</v>
      </c>
      <c r="L66" s="305">
        <f t="shared" si="44"/>
        <v>0</v>
      </c>
      <c r="M66" s="328" t="s">
        <v>291</v>
      </c>
    </row>
    <row r="67" s="263" customFormat="1" ht="30" customHeight="1" spans="1:13">
      <c r="A67" s="306" t="s">
        <v>298</v>
      </c>
      <c r="B67" s="307" t="s">
        <v>298</v>
      </c>
      <c r="C67" s="308" t="s">
        <v>387</v>
      </c>
      <c r="D67" s="309">
        <f t="shared" ref="D67:D71" si="45">E67+I67</f>
        <v>274.6455</v>
      </c>
      <c r="E67" s="310">
        <f t="shared" ref="E67:E71" si="46">SUBTOTAL(9,F67:H67)</f>
        <v>274.6455</v>
      </c>
      <c r="F67" s="311">
        <v>233.5259</v>
      </c>
      <c r="G67" s="309">
        <v>26.808</v>
      </c>
      <c r="H67" s="310">
        <v>14.3116</v>
      </c>
      <c r="I67" s="329">
        <f t="shared" ref="I67:I71" si="47">SUBTOTAL(9,J67:L67)</f>
        <v>0</v>
      </c>
      <c r="J67" s="309">
        <v>0</v>
      </c>
      <c r="K67" s="310">
        <v>0</v>
      </c>
      <c r="L67" s="311">
        <v>0</v>
      </c>
      <c r="M67" s="330" t="s">
        <v>291</v>
      </c>
    </row>
    <row r="68" s="263" customFormat="1" ht="27" customHeight="1" spans="1:13">
      <c r="A68" s="300" t="s">
        <v>388</v>
      </c>
      <c r="B68" s="301" t="s">
        <v>389</v>
      </c>
      <c r="C68" s="302"/>
      <c r="D68" s="303">
        <f t="shared" ref="D68:L68" si="48">D69</f>
        <v>58.37</v>
      </c>
      <c r="E68" s="304">
        <f t="shared" si="48"/>
        <v>0</v>
      </c>
      <c r="F68" s="305">
        <f t="shared" si="48"/>
        <v>0</v>
      </c>
      <c r="G68" s="303">
        <f t="shared" si="48"/>
        <v>0</v>
      </c>
      <c r="H68" s="304">
        <f t="shared" si="48"/>
        <v>0</v>
      </c>
      <c r="I68" s="327">
        <f t="shared" si="48"/>
        <v>58.37</v>
      </c>
      <c r="J68" s="303">
        <f t="shared" si="48"/>
        <v>58.37</v>
      </c>
      <c r="K68" s="304">
        <f t="shared" si="48"/>
        <v>0</v>
      </c>
      <c r="L68" s="305">
        <f t="shared" si="48"/>
        <v>0</v>
      </c>
      <c r="M68" s="328" t="s">
        <v>291</v>
      </c>
    </row>
    <row r="69" s="263" customFormat="1" ht="60" customHeight="1" spans="1:13">
      <c r="A69" s="306" t="s">
        <v>298</v>
      </c>
      <c r="B69" s="307" t="s">
        <v>298</v>
      </c>
      <c r="C69" s="308" t="s">
        <v>387</v>
      </c>
      <c r="D69" s="309">
        <f t="shared" si="45"/>
        <v>58.37</v>
      </c>
      <c r="E69" s="310">
        <f t="shared" si="46"/>
        <v>0</v>
      </c>
      <c r="F69" s="311">
        <v>0</v>
      </c>
      <c r="G69" s="309">
        <v>0</v>
      </c>
      <c r="H69" s="310">
        <v>0</v>
      </c>
      <c r="I69" s="329">
        <f t="shared" si="47"/>
        <v>58.37</v>
      </c>
      <c r="J69" s="309">
        <v>58.37</v>
      </c>
      <c r="K69" s="310">
        <v>0</v>
      </c>
      <c r="L69" s="311">
        <v>0</v>
      </c>
      <c r="M69" s="330" t="s">
        <v>390</v>
      </c>
    </row>
    <row r="70" s="263" customFormat="1" ht="22" customHeight="1" spans="1:13">
      <c r="A70" s="300" t="s">
        <v>391</v>
      </c>
      <c r="B70" s="301" t="s">
        <v>392</v>
      </c>
      <c r="C70" s="302"/>
      <c r="D70" s="303">
        <f t="shared" ref="D70:L70" si="49">D71</f>
        <v>7.36</v>
      </c>
      <c r="E70" s="304">
        <f t="shared" si="49"/>
        <v>0</v>
      </c>
      <c r="F70" s="305">
        <f t="shared" si="49"/>
        <v>0</v>
      </c>
      <c r="G70" s="303">
        <f t="shared" si="49"/>
        <v>0</v>
      </c>
      <c r="H70" s="304">
        <f t="shared" si="49"/>
        <v>0</v>
      </c>
      <c r="I70" s="327">
        <f t="shared" si="49"/>
        <v>7.36</v>
      </c>
      <c r="J70" s="303">
        <f t="shared" si="49"/>
        <v>7.36</v>
      </c>
      <c r="K70" s="304">
        <f t="shared" si="49"/>
        <v>0</v>
      </c>
      <c r="L70" s="305">
        <f t="shared" si="49"/>
        <v>0</v>
      </c>
      <c r="M70" s="328" t="s">
        <v>291</v>
      </c>
    </row>
    <row r="71" s="263" customFormat="1" ht="40" customHeight="1" spans="1:13">
      <c r="A71" s="306" t="s">
        <v>298</v>
      </c>
      <c r="B71" s="307" t="s">
        <v>298</v>
      </c>
      <c r="C71" s="308" t="s">
        <v>387</v>
      </c>
      <c r="D71" s="309">
        <f t="shared" si="45"/>
        <v>7.36</v>
      </c>
      <c r="E71" s="310">
        <f t="shared" si="46"/>
        <v>0</v>
      </c>
      <c r="F71" s="311">
        <v>0</v>
      </c>
      <c r="G71" s="309">
        <v>0</v>
      </c>
      <c r="H71" s="310">
        <v>0</v>
      </c>
      <c r="I71" s="329">
        <f t="shared" si="47"/>
        <v>7.36</v>
      </c>
      <c r="J71" s="309">
        <v>7.36</v>
      </c>
      <c r="K71" s="310">
        <v>0</v>
      </c>
      <c r="L71" s="311">
        <v>0</v>
      </c>
      <c r="M71" s="330" t="s">
        <v>393</v>
      </c>
    </row>
    <row r="72" s="263" customFormat="1" ht="18.75" customHeight="1" spans="1:13">
      <c r="A72" s="294" t="s">
        <v>394</v>
      </c>
      <c r="B72" s="295" t="s">
        <v>395</v>
      </c>
      <c r="C72" s="296"/>
      <c r="D72" s="297">
        <f t="shared" ref="D72:L72" si="50">D73+D75+D77+D80</f>
        <v>248.7084</v>
      </c>
      <c r="E72" s="298">
        <f t="shared" si="50"/>
        <v>155.9084</v>
      </c>
      <c r="F72" s="299">
        <f t="shared" si="50"/>
        <v>133.6094</v>
      </c>
      <c r="G72" s="297">
        <f t="shared" si="50"/>
        <v>16.278</v>
      </c>
      <c r="H72" s="298">
        <f t="shared" si="50"/>
        <v>6.021</v>
      </c>
      <c r="I72" s="325">
        <f t="shared" si="50"/>
        <v>92.8</v>
      </c>
      <c r="J72" s="297">
        <f t="shared" si="50"/>
        <v>92.8</v>
      </c>
      <c r="K72" s="298">
        <f t="shared" si="50"/>
        <v>0</v>
      </c>
      <c r="L72" s="299">
        <f t="shared" si="50"/>
        <v>0</v>
      </c>
      <c r="M72" s="326" t="s">
        <v>291</v>
      </c>
    </row>
    <row r="73" s="263" customFormat="1" ht="26" customHeight="1" spans="1:13">
      <c r="A73" s="300" t="s">
        <v>396</v>
      </c>
      <c r="B73" s="301" t="s">
        <v>397</v>
      </c>
      <c r="C73" s="302"/>
      <c r="D73" s="303">
        <f t="shared" ref="D73:L73" si="51">D74</f>
        <v>156.0284</v>
      </c>
      <c r="E73" s="304">
        <f t="shared" si="51"/>
        <v>155.9084</v>
      </c>
      <c r="F73" s="305">
        <f t="shared" si="51"/>
        <v>133.6094</v>
      </c>
      <c r="G73" s="303">
        <f t="shared" si="51"/>
        <v>16.278</v>
      </c>
      <c r="H73" s="304">
        <f t="shared" si="51"/>
        <v>6.021</v>
      </c>
      <c r="I73" s="327">
        <f t="shared" si="51"/>
        <v>0.12</v>
      </c>
      <c r="J73" s="303">
        <f t="shared" si="51"/>
        <v>0.12</v>
      </c>
      <c r="K73" s="304">
        <f t="shared" si="51"/>
        <v>0</v>
      </c>
      <c r="L73" s="305">
        <f t="shared" si="51"/>
        <v>0</v>
      </c>
      <c r="M73" s="328" t="s">
        <v>291</v>
      </c>
    </row>
    <row r="74" s="263" customFormat="1" ht="18.75" customHeight="1" spans="1:13">
      <c r="A74" s="306" t="s">
        <v>298</v>
      </c>
      <c r="B74" s="307" t="s">
        <v>298</v>
      </c>
      <c r="C74" s="308" t="s">
        <v>398</v>
      </c>
      <c r="D74" s="309">
        <f t="shared" ref="D74:D79" si="52">E74+I74</f>
        <v>156.0284</v>
      </c>
      <c r="E74" s="310">
        <f t="shared" ref="E74:E79" si="53">SUBTOTAL(9,F74:H74)</f>
        <v>155.9084</v>
      </c>
      <c r="F74" s="311">
        <v>133.6094</v>
      </c>
      <c r="G74" s="309">
        <v>16.278</v>
      </c>
      <c r="H74" s="310">
        <v>6.021</v>
      </c>
      <c r="I74" s="329">
        <f t="shared" ref="I74:I79" si="54">SUBTOTAL(9,J74:L74)</f>
        <v>0.12</v>
      </c>
      <c r="J74" s="309">
        <v>0.12</v>
      </c>
      <c r="K74" s="310">
        <v>0</v>
      </c>
      <c r="L74" s="311">
        <v>0</v>
      </c>
      <c r="M74" s="330" t="s">
        <v>399</v>
      </c>
    </row>
    <row r="75" s="263" customFormat="1" ht="22" customHeight="1" spans="1:13">
      <c r="A75" s="300" t="s">
        <v>400</v>
      </c>
      <c r="B75" s="301" t="s">
        <v>401</v>
      </c>
      <c r="C75" s="302"/>
      <c r="D75" s="303">
        <f t="shared" ref="D75:L75" si="55">D76</f>
        <v>12.59</v>
      </c>
      <c r="E75" s="304">
        <f t="shared" si="55"/>
        <v>0</v>
      </c>
      <c r="F75" s="305">
        <f t="shared" si="55"/>
        <v>0</v>
      </c>
      <c r="G75" s="303">
        <f t="shared" si="55"/>
        <v>0</v>
      </c>
      <c r="H75" s="304">
        <f t="shared" si="55"/>
        <v>0</v>
      </c>
      <c r="I75" s="327">
        <f t="shared" si="55"/>
        <v>12.59</v>
      </c>
      <c r="J75" s="303">
        <f t="shared" si="55"/>
        <v>12.59</v>
      </c>
      <c r="K75" s="304">
        <f t="shared" si="55"/>
        <v>0</v>
      </c>
      <c r="L75" s="305">
        <f t="shared" si="55"/>
        <v>0</v>
      </c>
      <c r="M75" s="328" t="s">
        <v>291</v>
      </c>
    </row>
    <row r="76" s="263" customFormat="1" ht="18.75" customHeight="1" spans="1:13">
      <c r="A76" s="306" t="s">
        <v>298</v>
      </c>
      <c r="B76" s="307" t="s">
        <v>298</v>
      </c>
      <c r="C76" s="308" t="s">
        <v>398</v>
      </c>
      <c r="D76" s="309">
        <f t="shared" si="52"/>
        <v>12.59</v>
      </c>
      <c r="E76" s="310">
        <f t="shared" si="53"/>
        <v>0</v>
      </c>
      <c r="F76" s="311">
        <v>0</v>
      </c>
      <c r="G76" s="309">
        <v>0</v>
      </c>
      <c r="H76" s="310">
        <v>0</v>
      </c>
      <c r="I76" s="329">
        <f t="shared" si="54"/>
        <v>12.59</v>
      </c>
      <c r="J76" s="309">
        <v>12.59</v>
      </c>
      <c r="K76" s="310">
        <v>0</v>
      </c>
      <c r="L76" s="311">
        <v>0</v>
      </c>
      <c r="M76" s="330" t="s">
        <v>402</v>
      </c>
    </row>
    <row r="77" s="263" customFormat="1" ht="22" customHeight="1" spans="1:13">
      <c r="A77" s="300" t="s">
        <v>403</v>
      </c>
      <c r="B77" s="301" t="s">
        <v>404</v>
      </c>
      <c r="C77" s="302"/>
      <c r="D77" s="303">
        <f t="shared" ref="D77:L77" si="56">SUM(D78:D79)</f>
        <v>38.78</v>
      </c>
      <c r="E77" s="304">
        <f t="shared" si="56"/>
        <v>0</v>
      </c>
      <c r="F77" s="305">
        <f t="shared" si="56"/>
        <v>0</v>
      </c>
      <c r="G77" s="303">
        <f t="shared" si="56"/>
        <v>0</v>
      </c>
      <c r="H77" s="304">
        <f t="shared" si="56"/>
        <v>0</v>
      </c>
      <c r="I77" s="327">
        <f t="shared" si="56"/>
        <v>38.78</v>
      </c>
      <c r="J77" s="303">
        <f t="shared" si="56"/>
        <v>38.78</v>
      </c>
      <c r="K77" s="304">
        <f t="shared" si="56"/>
        <v>0</v>
      </c>
      <c r="L77" s="305">
        <f t="shared" si="56"/>
        <v>0</v>
      </c>
      <c r="M77" s="328" t="s">
        <v>291</v>
      </c>
    </row>
    <row r="78" s="263" customFormat="1" ht="18.75" customHeight="1" spans="1:13">
      <c r="A78" s="306" t="s">
        <v>298</v>
      </c>
      <c r="B78" s="307" t="s">
        <v>298</v>
      </c>
      <c r="C78" s="308" t="s">
        <v>398</v>
      </c>
      <c r="D78" s="309">
        <f t="shared" si="52"/>
        <v>8</v>
      </c>
      <c r="E78" s="310">
        <f t="shared" si="53"/>
        <v>0</v>
      </c>
      <c r="F78" s="311">
        <v>0</v>
      </c>
      <c r="G78" s="309">
        <v>0</v>
      </c>
      <c r="H78" s="310">
        <v>0</v>
      </c>
      <c r="I78" s="329">
        <f t="shared" si="54"/>
        <v>8</v>
      </c>
      <c r="J78" s="309">
        <v>8</v>
      </c>
      <c r="K78" s="310">
        <v>0</v>
      </c>
      <c r="L78" s="311">
        <v>0</v>
      </c>
      <c r="M78" s="330" t="s">
        <v>405</v>
      </c>
    </row>
    <row r="79" s="263" customFormat="1" ht="41" customHeight="1" spans="1:13">
      <c r="A79" s="306" t="s">
        <v>298</v>
      </c>
      <c r="B79" s="307" t="s">
        <v>298</v>
      </c>
      <c r="C79" s="308" t="s">
        <v>406</v>
      </c>
      <c r="D79" s="309">
        <f t="shared" si="52"/>
        <v>30.78</v>
      </c>
      <c r="E79" s="310">
        <f t="shared" si="53"/>
        <v>0</v>
      </c>
      <c r="F79" s="311">
        <v>0</v>
      </c>
      <c r="G79" s="309">
        <v>0</v>
      </c>
      <c r="H79" s="310">
        <v>0</v>
      </c>
      <c r="I79" s="329">
        <f t="shared" si="54"/>
        <v>30.78</v>
      </c>
      <c r="J79" s="309">
        <v>30.78</v>
      </c>
      <c r="K79" s="310">
        <v>0</v>
      </c>
      <c r="L79" s="311">
        <v>0</v>
      </c>
      <c r="M79" s="330" t="s">
        <v>407</v>
      </c>
    </row>
    <row r="80" s="263" customFormat="1" ht="27" customHeight="1" spans="1:13">
      <c r="A80" s="300" t="s">
        <v>408</v>
      </c>
      <c r="B80" s="301" t="s">
        <v>409</v>
      </c>
      <c r="C80" s="302"/>
      <c r="D80" s="303">
        <f t="shared" ref="D80:L80" si="57">D81</f>
        <v>41.31</v>
      </c>
      <c r="E80" s="304">
        <f t="shared" si="57"/>
        <v>0</v>
      </c>
      <c r="F80" s="305">
        <f t="shared" si="57"/>
        <v>0</v>
      </c>
      <c r="G80" s="303">
        <f t="shared" si="57"/>
        <v>0</v>
      </c>
      <c r="H80" s="304">
        <f t="shared" si="57"/>
        <v>0</v>
      </c>
      <c r="I80" s="327">
        <f t="shared" si="57"/>
        <v>41.31</v>
      </c>
      <c r="J80" s="303">
        <f t="shared" si="57"/>
        <v>41.31</v>
      </c>
      <c r="K80" s="304">
        <f t="shared" si="57"/>
        <v>0</v>
      </c>
      <c r="L80" s="305">
        <f t="shared" si="57"/>
        <v>0</v>
      </c>
      <c r="M80" s="328" t="s">
        <v>291</v>
      </c>
    </row>
    <row r="81" s="263" customFormat="1" ht="39" customHeight="1" spans="1:13">
      <c r="A81" s="306" t="s">
        <v>298</v>
      </c>
      <c r="B81" s="307" t="s">
        <v>298</v>
      </c>
      <c r="C81" s="308" t="s">
        <v>398</v>
      </c>
      <c r="D81" s="309">
        <f t="shared" ref="D81:D85" si="58">E81+I81</f>
        <v>41.31</v>
      </c>
      <c r="E81" s="310">
        <f>SUBTOTAL(9,F81:H81)</f>
        <v>0</v>
      </c>
      <c r="F81" s="311">
        <v>0</v>
      </c>
      <c r="G81" s="309">
        <v>0</v>
      </c>
      <c r="H81" s="310">
        <v>0</v>
      </c>
      <c r="I81" s="329">
        <f>SUBTOTAL(9,J81:L81)</f>
        <v>41.31</v>
      </c>
      <c r="J81" s="309">
        <v>41.31</v>
      </c>
      <c r="K81" s="310">
        <v>0</v>
      </c>
      <c r="L81" s="311">
        <v>0</v>
      </c>
      <c r="M81" s="330" t="s">
        <v>410</v>
      </c>
    </row>
    <row r="82" s="263" customFormat="1" ht="18.75" customHeight="1" spans="1:13">
      <c r="A82" s="294" t="s">
        <v>411</v>
      </c>
      <c r="B82" s="295" t="s">
        <v>412</v>
      </c>
      <c r="C82" s="296"/>
      <c r="D82" s="297">
        <f t="shared" ref="D82:L82" si="59">D83+D86+D88+D90+D92</f>
        <v>1709.1173</v>
      </c>
      <c r="E82" s="298">
        <f t="shared" si="59"/>
        <v>1174.8473</v>
      </c>
      <c r="F82" s="299">
        <f t="shared" si="59"/>
        <v>981.7435</v>
      </c>
      <c r="G82" s="297">
        <f t="shared" si="59"/>
        <v>151.512</v>
      </c>
      <c r="H82" s="298">
        <f t="shared" si="59"/>
        <v>41.5918</v>
      </c>
      <c r="I82" s="325">
        <f t="shared" si="59"/>
        <v>534.27</v>
      </c>
      <c r="J82" s="297">
        <f t="shared" si="59"/>
        <v>534.27</v>
      </c>
      <c r="K82" s="298">
        <f t="shared" si="59"/>
        <v>0</v>
      </c>
      <c r="L82" s="299">
        <f t="shared" si="59"/>
        <v>0</v>
      </c>
      <c r="M82" s="326" t="s">
        <v>291</v>
      </c>
    </row>
    <row r="83" s="263" customFormat="1" ht="28" customHeight="1" spans="1:13">
      <c r="A83" s="300" t="s">
        <v>413</v>
      </c>
      <c r="B83" s="301" t="s">
        <v>414</v>
      </c>
      <c r="C83" s="302"/>
      <c r="D83" s="303">
        <f t="shared" ref="D83:L83" si="60">SUM(D84:D85)</f>
        <v>1174.8473</v>
      </c>
      <c r="E83" s="303">
        <f t="shared" si="60"/>
        <v>1174.8473</v>
      </c>
      <c r="F83" s="303">
        <f t="shared" si="60"/>
        <v>981.7435</v>
      </c>
      <c r="G83" s="303">
        <f t="shared" si="60"/>
        <v>151.512</v>
      </c>
      <c r="H83" s="304">
        <f t="shared" si="60"/>
        <v>41.5918</v>
      </c>
      <c r="I83" s="304">
        <f t="shared" si="60"/>
        <v>0</v>
      </c>
      <c r="J83" s="303">
        <f t="shared" si="60"/>
        <v>0</v>
      </c>
      <c r="K83" s="304">
        <f t="shared" si="60"/>
        <v>0</v>
      </c>
      <c r="L83" s="305">
        <f t="shared" si="60"/>
        <v>0</v>
      </c>
      <c r="M83" s="328" t="s">
        <v>291</v>
      </c>
    </row>
    <row r="84" s="263" customFormat="1" ht="18.75" customHeight="1" spans="1:13">
      <c r="A84" s="306" t="s">
        <v>298</v>
      </c>
      <c r="B84" s="307" t="s">
        <v>298</v>
      </c>
      <c r="C84" s="308" t="s">
        <v>415</v>
      </c>
      <c r="D84" s="309">
        <f t="shared" si="58"/>
        <v>628.3975</v>
      </c>
      <c r="E84" s="310">
        <f t="shared" ref="E84:E89" si="61">SUBTOTAL(9,F84:H84)</f>
        <v>628.3975</v>
      </c>
      <c r="F84" s="311">
        <v>516.4856</v>
      </c>
      <c r="G84" s="309">
        <v>81.816</v>
      </c>
      <c r="H84" s="310">
        <v>30.0959</v>
      </c>
      <c r="I84" s="329">
        <f t="shared" ref="I84:I89" si="62">SUBTOTAL(9,J84:L84)</f>
        <v>0</v>
      </c>
      <c r="J84" s="309">
        <v>0</v>
      </c>
      <c r="K84" s="310">
        <v>0</v>
      </c>
      <c r="L84" s="311">
        <v>0</v>
      </c>
      <c r="M84" s="330" t="s">
        <v>291</v>
      </c>
    </row>
    <row r="85" s="263" customFormat="1" ht="18.75" customHeight="1" spans="1:13">
      <c r="A85" s="306"/>
      <c r="B85" s="307"/>
      <c r="C85" s="308" t="s">
        <v>301</v>
      </c>
      <c r="D85" s="309">
        <f t="shared" si="58"/>
        <v>546.4498</v>
      </c>
      <c r="E85" s="310">
        <f>SUM(F85:H85)</f>
        <v>546.4498</v>
      </c>
      <c r="F85" s="310">
        <v>465.2579</v>
      </c>
      <c r="G85" s="310">
        <v>69.696</v>
      </c>
      <c r="H85" s="310">
        <v>11.4959</v>
      </c>
      <c r="I85" s="329"/>
      <c r="J85" s="309"/>
      <c r="K85" s="310"/>
      <c r="L85" s="311"/>
      <c r="M85" s="330"/>
    </row>
    <row r="86" s="263" customFormat="1" ht="22" customHeight="1" spans="1:13">
      <c r="A86" s="300" t="s">
        <v>416</v>
      </c>
      <c r="B86" s="301" t="s">
        <v>417</v>
      </c>
      <c r="C86" s="302"/>
      <c r="D86" s="303">
        <f t="shared" ref="D86:L86" si="63">D87</f>
        <v>10.8</v>
      </c>
      <c r="E86" s="304">
        <f t="shared" si="63"/>
        <v>0</v>
      </c>
      <c r="F86" s="305">
        <f t="shared" si="63"/>
        <v>0</v>
      </c>
      <c r="G86" s="303">
        <f t="shared" si="63"/>
        <v>0</v>
      </c>
      <c r="H86" s="304">
        <f t="shared" si="63"/>
        <v>0</v>
      </c>
      <c r="I86" s="327">
        <f t="shared" si="63"/>
        <v>10.8</v>
      </c>
      <c r="J86" s="303">
        <f t="shared" si="63"/>
        <v>10.8</v>
      </c>
      <c r="K86" s="304">
        <f t="shared" si="63"/>
        <v>0</v>
      </c>
      <c r="L86" s="305">
        <f t="shared" si="63"/>
        <v>0</v>
      </c>
      <c r="M86" s="328" t="s">
        <v>291</v>
      </c>
    </row>
    <row r="87" s="263" customFormat="1" ht="18.75" customHeight="1" spans="1:13">
      <c r="A87" s="306" t="s">
        <v>298</v>
      </c>
      <c r="B87" s="307" t="s">
        <v>298</v>
      </c>
      <c r="C87" s="308" t="s">
        <v>415</v>
      </c>
      <c r="D87" s="309">
        <f t="shared" ref="D87:D91" si="64">E87+I87</f>
        <v>10.8</v>
      </c>
      <c r="E87" s="310">
        <f t="shared" si="61"/>
        <v>0</v>
      </c>
      <c r="F87" s="311">
        <v>0</v>
      </c>
      <c r="G87" s="309">
        <v>0</v>
      </c>
      <c r="H87" s="310">
        <v>0</v>
      </c>
      <c r="I87" s="329">
        <f t="shared" si="62"/>
        <v>10.8</v>
      </c>
      <c r="J87" s="309">
        <v>10.8</v>
      </c>
      <c r="K87" s="310">
        <v>0</v>
      </c>
      <c r="L87" s="311">
        <v>0</v>
      </c>
      <c r="M87" s="330" t="s">
        <v>418</v>
      </c>
    </row>
    <row r="88" s="263" customFormat="1" ht="22" customHeight="1" spans="1:13">
      <c r="A88" s="300" t="s">
        <v>419</v>
      </c>
      <c r="B88" s="301" t="s">
        <v>420</v>
      </c>
      <c r="C88" s="302"/>
      <c r="D88" s="303">
        <f t="shared" ref="D88:L88" si="65">D89</f>
        <v>36</v>
      </c>
      <c r="E88" s="304">
        <f t="shared" si="65"/>
        <v>0</v>
      </c>
      <c r="F88" s="305">
        <f t="shared" si="65"/>
        <v>0</v>
      </c>
      <c r="G88" s="303">
        <f t="shared" si="65"/>
        <v>0</v>
      </c>
      <c r="H88" s="304">
        <f t="shared" si="65"/>
        <v>0</v>
      </c>
      <c r="I88" s="327">
        <f t="shared" si="65"/>
        <v>36</v>
      </c>
      <c r="J88" s="303">
        <f t="shared" si="65"/>
        <v>36</v>
      </c>
      <c r="K88" s="304">
        <f t="shared" si="65"/>
        <v>0</v>
      </c>
      <c r="L88" s="305">
        <f t="shared" si="65"/>
        <v>0</v>
      </c>
      <c r="M88" s="328" t="s">
        <v>291</v>
      </c>
    </row>
    <row r="89" s="263" customFormat="1" ht="18.75" customHeight="1" spans="1:13">
      <c r="A89" s="306" t="s">
        <v>298</v>
      </c>
      <c r="B89" s="307" t="s">
        <v>298</v>
      </c>
      <c r="C89" s="308" t="s">
        <v>415</v>
      </c>
      <c r="D89" s="309">
        <f t="shared" si="64"/>
        <v>36</v>
      </c>
      <c r="E89" s="310">
        <f t="shared" si="61"/>
        <v>0</v>
      </c>
      <c r="F89" s="311">
        <v>0</v>
      </c>
      <c r="G89" s="309">
        <v>0</v>
      </c>
      <c r="H89" s="310">
        <v>0</v>
      </c>
      <c r="I89" s="329">
        <f t="shared" si="62"/>
        <v>36</v>
      </c>
      <c r="J89" s="309">
        <v>36</v>
      </c>
      <c r="K89" s="310">
        <v>0</v>
      </c>
      <c r="L89" s="311">
        <v>0</v>
      </c>
      <c r="M89" s="330" t="s">
        <v>421</v>
      </c>
    </row>
    <row r="90" s="263" customFormat="1" ht="22" customHeight="1" spans="1:13">
      <c r="A90" s="300" t="s">
        <v>422</v>
      </c>
      <c r="B90" s="301" t="s">
        <v>423</v>
      </c>
      <c r="C90" s="302"/>
      <c r="D90" s="303">
        <f t="shared" ref="D90:L90" si="66">D91</f>
        <v>270</v>
      </c>
      <c r="E90" s="304">
        <f t="shared" si="66"/>
        <v>0</v>
      </c>
      <c r="F90" s="305">
        <f t="shared" si="66"/>
        <v>0</v>
      </c>
      <c r="G90" s="303">
        <f t="shared" si="66"/>
        <v>0</v>
      </c>
      <c r="H90" s="304">
        <f t="shared" si="66"/>
        <v>0</v>
      </c>
      <c r="I90" s="327">
        <f t="shared" si="66"/>
        <v>270</v>
      </c>
      <c r="J90" s="303">
        <f t="shared" si="66"/>
        <v>270</v>
      </c>
      <c r="K90" s="304">
        <f t="shared" si="66"/>
        <v>0</v>
      </c>
      <c r="L90" s="305">
        <f t="shared" si="66"/>
        <v>0</v>
      </c>
      <c r="M90" s="328" t="s">
        <v>291</v>
      </c>
    </row>
    <row r="91" s="263" customFormat="1" ht="18.75" customHeight="1" spans="1:13">
      <c r="A91" s="306" t="s">
        <v>298</v>
      </c>
      <c r="B91" s="307" t="s">
        <v>298</v>
      </c>
      <c r="C91" s="308" t="s">
        <v>415</v>
      </c>
      <c r="D91" s="309">
        <f t="shared" si="64"/>
        <v>270</v>
      </c>
      <c r="E91" s="310">
        <f t="shared" ref="E91:E96" si="67">SUBTOTAL(9,F91:H91)</f>
        <v>0</v>
      </c>
      <c r="F91" s="311">
        <v>0</v>
      </c>
      <c r="G91" s="309">
        <v>0</v>
      </c>
      <c r="H91" s="310">
        <v>0</v>
      </c>
      <c r="I91" s="329">
        <f t="shared" ref="I91:I96" si="68">SUBTOTAL(9,J91:L91)</f>
        <v>270</v>
      </c>
      <c r="J91" s="309">
        <v>270</v>
      </c>
      <c r="K91" s="310">
        <v>0</v>
      </c>
      <c r="L91" s="311">
        <v>0</v>
      </c>
      <c r="M91" s="330" t="s">
        <v>424</v>
      </c>
    </row>
    <row r="92" s="263" customFormat="1" ht="22" customHeight="1" spans="1:13">
      <c r="A92" s="300" t="s">
        <v>425</v>
      </c>
      <c r="B92" s="301" t="s">
        <v>426</v>
      </c>
      <c r="C92" s="302"/>
      <c r="D92" s="303">
        <f t="shared" ref="D92:L92" si="69">D93</f>
        <v>217.47</v>
      </c>
      <c r="E92" s="304">
        <f t="shared" si="69"/>
        <v>0</v>
      </c>
      <c r="F92" s="305">
        <f t="shared" si="69"/>
        <v>0</v>
      </c>
      <c r="G92" s="303">
        <f t="shared" si="69"/>
        <v>0</v>
      </c>
      <c r="H92" s="304">
        <f t="shared" si="69"/>
        <v>0</v>
      </c>
      <c r="I92" s="327">
        <f t="shared" si="69"/>
        <v>217.47</v>
      </c>
      <c r="J92" s="303">
        <f t="shared" si="69"/>
        <v>217.47</v>
      </c>
      <c r="K92" s="304">
        <f t="shared" si="69"/>
        <v>0</v>
      </c>
      <c r="L92" s="305">
        <f t="shared" si="69"/>
        <v>0</v>
      </c>
      <c r="M92" s="328" t="s">
        <v>291</v>
      </c>
    </row>
    <row r="93" s="263" customFormat="1" ht="94" customHeight="1" spans="1:13">
      <c r="A93" s="306" t="s">
        <v>298</v>
      </c>
      <c r="B93" s="307" t="s">
        <v>298</v>
      </c>
      <c r="C93" s="308" t="s">
        <v>415</v>
      </c>
      <c r="D93" s="309">
        <f t="shared" ref="D93:D98" si="70">E93+I93</f>
        <v>217.47</v>
      </c>
      <c r="E93" s="310">
        <f t="shared" si="67"/>
        <v>0</v>
      </c>
      <c r="F93" s="311">
        <v>0</v>
      </c>
      <c r="G93" s="309">
        <v>0</v>
      </c>
      <c r="H93" s="310">
        <v>0</v>
      </c>
      <c r="I93" s="329">
        <f t="shared" si="68"/>
        <v>217.47</v>
      </c>
      <c r="J93" s="309">
        <v>217.47</v>
      </c>
      <c r="K93" s="310">
        <v>0</v>
      </c>
      <c r="L93" s="311">
        <v>0</v>
      </c>
      <c r="M93" s="330" t="s">
        <v>427</v>
      </c>
    </row>
    <row r="94" s="263" customFormat="1" ht="18.75" customHeight="1" spans="1:13">
      <c r="A94" s="294" t="s">
        <v>428</v>
      </c>
      <c r="B94" s="295" t="s">
        <v>429</v>
      </c>
      <c r="C94" s="296"/>
      <c r="D94" s="297">
        <f t="shared" ref="D94:L94" si="71">D95+D97+D99+D101+D103+D105</f>
        <v>396.2075</v>
      </c>
      <c r="E94" s="298">
        <f t="shared" si="71"/>
        <v>161.2775</v>
      </c>
      <c r="F94" s="299">
        <f t="shared" si="71"/>
        <v>139.1126</v>
      </c>
      <c r="G94" s="297">
        <f t="shared" si="71"/>
        <v>18.288</v>
      </c>
      <c r="H94" s="298">
        <f t="shared" si="71"/>
        <v>3.8769</v>
      </c>
      <c r="I94" s="325">
        <f t="shared" si="71"/>
        <v>234.93</v>
      </c>
      <c r="J94" s="297">
        <f t="shared" si="71"/>
        <v>234.93</v>
      </c>
      <c r="K94" s="298">
        <f t="shared" si="71"/>
        <v>0</v>
      </c>
      <c r="L94" s="299">
        <f t="shared" si="71"/>
        <v>0</v>
      </c>
      <c r="M94" s="326" t="s">
        <v>291</v>
      </c>
    </row>
    <row r="95" s="263" customFormat="1" ht="26" customHeight="1" spans="1:13">
      <c r="A95" s="300" t="s">
        <v>430</v>
      </c>
      <c r="B95" s="301" t="s">
        <v>431</v>
      </c>
      <c r="C95" s="302"/>
      <c r="D95" s="303">
        <f t="shared" ref="D95:L95" si="72">D96</f>
        <v>161.2775</v>
      </c>
      <c r="E95" s="304">
        <f t="shared" si="72"/>
        <v>161.2775</v>
      </c>
      <c r="F95" s="305">
        <f t="shared" si="72"/>
        <v>139.1126</v>
      </c>
      <c r="G95" s="303">
        <f t="shared" si="72"/>
        <v>18.288</v>
      </c>
      <c r="H95" s="304">
        <f t="shared" si="72"/>
        <v>3.8769</v>
      </c>
      <c r="I95" s="327">
        <f t="shared" si="72"/>
        <v>0</v>
      </c>
      <c r="J95" s="303">
        <f t="shared" si="72"/>
        <v>0</v>
      </c>
      <c r="K95" s="304">
        <f t="shared" si="72"/>
        <v>0</v>
      </c>
      <c r="L95" s="305">
        <f t="shared" si="72"/>
        <v>0</v>
      </c>
      <c r="M95" s="328" t="s">
        <v>291</v>
      </c>
    </row>
    <row r="96" s="263" customFormat="1" ht="18.75" customHeight="1" spans="1:13">
      <c r="A96" s="306" t="s">
        <v>298</v>
      </c>
      <c r="B96" s="307" t="s">
        <v>298</v>
      </c>
      <c r="C96" s="308" t="s">
        <v>432</v>
      </c>
      <c r="D96" s="309">
        <f t="shared" si="70"/>
        <v>161.2775</v>
      </c>
      <c r="E96" s="310">
        <f t="shared" si="67"/>
        <v>161.2775</v>
      </c>
      <c r="F96" s="311">
        <v>139.1126</v>
      </c>
      <c r="G96" s="309">
        <v>18.288</v>
      </c>
      <c r="H96" s="310">
        <v>3.8769</v>
      </c>
      <c r="I96" s="329">
        <f t="shared" si="68"/>
        <v>0</v>
      </c>
      <c r="J96" s="309">
        <v>0</v>
      </c>
      <c r="K96" s="310">
        <v>0</v>
      </c>
      <c r="L96" s="311">
        <v>0</v>
      </c>
      <c r="M96" s="330" t="s">
        <v>291</v>
      </c>
    </row>
    <row r="97" s="263" customFormat="1" ht="22" customHeight="1" spans="1:13">
      <c r="A97" s="300" t="s">
        <v>433</v>
      </c>
      <c r="B97" s="301" t="s">
        <v>434</v>
      </c>
      <c r="C97" s="302"/>
      <c r="D97" s="303">
        <f t="shared" ref="D97:L97" si="73">D98</f>
        <v>212.8</v>
      </c>
      <c r="E97" s="304">
        <f t="shared" si="73"/>
        <v>0</v>
      </c>
      <c r="F97" s="305">
        <f t="shared" si="73"/>
        <v>0</v>
      </c>
      <c r="G97" s="303">
        <f t="shared" si="73"/>
        <v>0</v>
      </c>
      <c r="H97" s="304">
        <f t="shared" si="73"/>
        <v>0</v>
      </c>
      <c r="I97" s="327">
        <f t="shared" si="73"/>
        <v>212.8</v>
      </c>
      <c r="J97" s="303">
        <f t="shared" si="73"/>
        <v>212.8</v>
      </c>
      <c r="K97" s="304">
        <f t="shared" si="73"/>
        <v>0</v>
      </c>
      <c r="L97" s="305">
        <f t="shared" si="73"/>
        <v>0</v>
      </c>
      <c r="M97" s="328" t="s">
        <v>291</v>
      </c>
    </row>
    <row r="98" s="263" customFormat="1" ht="32" customHeight="1" spans="1:13">
      <c r="A98" s="306" t="s">
        <v>298</v>
      </c>
      <c r="B98" s="307" t="s">
        <v>298</v>
      </c>
      <c r="C98" s="308" t="s">
        <v>432</v>
      </c>
      <c r="D98" s="309">
        <f t="shared" si="70"/>
        <v>212.8</v>
      </c>
      <c r="E98" s="310">
        <f t="shared" ref="E98:E102" si="74">SUBTOTAL(9,F98:H98)</f>
        <v>0</v>
      </c>
      <c r="F98" s="311">
        <v>0</v>
      </c>
      <c r="G98" s="309">
        <v>0</v>
      </c>
      <c r="H98" s="310">
        <v>0</v>
      </c>
      <c r="I98" s="329">
        <f t="shared" ref="I98:I102" si="75">SUBTOTAL(9,J98:L98)</f>
        <v>212.8</v>
      </c>
      <c r="J98" s="309">
        <v>212.8</v>
      </c>
      <c r="K98" s="310">
        <v>0</v>
      </c>
      <c r="L98" s="311">
        <v>0</v>
      </c>
      <c r="M98" s="330" t="s">
        <v>435</v>
      </c>
    </row>
    <row r="99" s="263" customFormat="1" ht="22" customHeight="1" spans="1:13">
      <c r="A99" s="300" t="s">
        <v>436</v>
      </c>
      <c r="B99" s="301" t="s">
        <v>437</v>
      </c>
      <c r="C99" s="302"/>
      <c r="D99" s="303">
        <f t="shared" ref="D99:L99" si="76">D100</f>
        <v>6.4</v>
      </c>
      <c r="E99" s="304">
        <f t="shared" si="76"/>
        <v>0</v>
      </c>
      <c r="F99" s="305">
        <f t="shared" si="76"/>
        <v>0</v>
      </c>
      <c r="G99" s="303">
        <f t="shared" si="76"/>
        <v>0</v>
      </c>
      <c r="H99" s="304">
        <f t="shared" si="76"/>
        <v>0</v>
      </c>
      <c r="I99" s="327">
        <f t="shared" si="76"/>
        <v>6.4</v>
      </c>
      <c r="J99" s="303">
        <f t="shared" si="76"/>
        <v>6.4</v>
      </c>
      <c r="K99" s="304">
        <f t="shared" si="76"/>
        <v>0</v>
      </c>
      <c r="L99" s="305">
        <f t="shared" si="76"/>
        <v>0</v>
      </c>
      <c r="M99" s="328" t="s">
        <v>291</v>
      </c>
    </row>
    <row r="100" s="263" customFormat="1" ht="18.75" customHeight="1" spans="1:13">
      <c r="A100" s="306" t="s">
        <v>298</v>
      </c>
      <c r="B100" s="307" t="s">
        <v>298</v>
      </c>
      <c r="C100" s="308" t="s">
        <v>432</v>
      </c>
      <c r="D100" s="309">
        <f t="shared" ref="D100:D104" si="77">E100+I100</f>
        <v>6.4</v>
      </c>
      <c r="E100" s="310">
        <f t="shared" si="74"/>
        <v>0</v>
      </c>
      <c r="F100" s="311">
        <v>0</v>
      </c>
      <c r="G100" s="309">
        <v>0</v>
      </c>
      <c r="H100" s="310">
        <v>0</v>
      </c>
      <c r="I100" s="329">
        <f t="shared" si="75"/>
        <v>6.4</v>
      </c>
      <c r="J100" s="309">
        <v>6.4</v>
      </c>
      <c r="K100" s="310">
        <v>0</v>
      </c>
      <c r="L100" s="311">
        <v>0</v>
      </c>
      <c r="M100" s="330" t="s">
        <v>438</v>
      </c>
    </row>
    <row r="101" s="263" customFormat="1" ht="22" customHeight="1" spans="1:13">
      <c r="A101" s="300" t="s">
        <v>439</v>
      </c>
      <c r="B101" s="301" t="s">
        <v>440</v>
      </c>
      <c r="C101" s="302"/>
      <c r="D101" s="303">
        <f t="shared" ref="D101:L101" si="78">D102</f>
        <v>8.4</v>
      </c>
      <c r="E101" s="304">
        <f t="shared" si="78"/>
        <v>0</v>
      </c>
      <c r="F101" s="305">
        <f t="shared" si="78"/>
        <v>0</v>
      </c>
      <c r="G101" s="303">
        <f t="shared" si="78"/>
        <v>0</v>
      </c>
      <c r="H101" s="304">
        <f t="shared" si="78"/>
        <v>0</v>
      </c>
      <c r="I101" s="327">
        <f t="shared" si="78"/>
        <v>8.4</v>
      </c>
      <c r="J101" s="303">
        <f t="shared" si="78"/>
        <v>8.4</v>
      </c>
      <c r="K101" s="304">
        <f t="shared" si="78"/>
        <v>0</v>
      </c>
      <c r="L101" s="305">
        <f t="shared" si="78"/>
        <v>0</v>
      </c>
      <c r="M101" s="328" t="s">
        <v>291</v>
      </c>
    </row>
    <row r="102" s="263" customFormat="1" ht="26" customHeight="1" spans="1:13">
      <c r="A102" s="306" t="s">
        <v>298</v>
      </c>
      <c r="B102" s="307" t="s">
        <v>298</v>
      </c>
      <c r="C102" s="308" t="s">
        <v>432</v>
      </c>
      <c r="D102" s="309">
        <f t="shared" si="77"/>
        <v>8.4</v>
      </c>
      <c r="E102" s="310">
        <f t="shared" si="74"/>
        <v>0</v>
      </c>
      <c r="F102" s="311">
        <v>0</v>
      </c>
      <c r="G102" s="309">
        <v>0</v>
      </c>
      <c r="H102" s="310">
        <v>0</v>
      </c>
      <c r="I102" s="329">
        <f t="shared" si="75"/>
        <v>8.4</v>
      </c>
      <c r="J102" s="309">
        <v>8.4</v>
      </c>
      <c r="K102" s="310">
        <v>0</v>
      </c>
      <c r="L102" s="311">
        <v>0</v>
      </c>
      <c r="M102" s="330" t="s">
        <v>441</v>
      </c>
    </row>
    <row r="103" s="263" customFormat="1" ht="28" customHeight="1" spans="1:13">
      <c r="A103" s="300" t="s">
        <v>442</v>
      </c>
      <c r="B103" s="301" t="s">
        <v>443</v>
      </c>
      <c r="C103" s="302"/>
      <c r="D103" s="303">
        <f t="shared" ref="D103:L103" si="79">D104</f>
        <v>4.8</v>
      </c>
      <c r="E103" s="304">
        <f t="shared" si="79"/>
        <v>0</v>
      </c>
      <c r="F103" s="305">
        <f t="shared" si="79"/>
        <v>0</v>
      </c>
      <c r="G103" s="303">
        <f t="shared" si="79"/>
        <v>0</v>
      </c>
      <c r="H103" s="304">
        <f t="shared" si="79"/>
        <v>0</v>
      </c>
      <c r="I103" s="327">
        <f t="shared" si="79"/>
        <v>4.8</v>
      </c>
      <c r="J103" s="303">
        <f t="shared" si="79"/>
        <v>4.8</v>
      </c>
      <c r="K103" s="304">
        <f t="shared" si="79"/>
        <v>0</v>
      </c>
      <c r="L103" s="305">
        <f t="shared" si="79"/>
        <v>0</v>
      </c>
      <c r="M103" s="328" t="s">
        <v>291</v>
      </c>
    </row>
    <row r="104" s="263" customFormat="1" ht="18.75" customHeight="1" spans="1:13">
      <c r="A104" s="306" t="s">
        <v>298</v>
      </c>
      <c r="B104" s="307" t="s">
        <v>298</v>
      </c>
      <c r="C104" s="308" t="s">
        <v>432</v>
      </c>
      <c r="D104" s="309">
        <f t="shared" si="77"/>
        <v>4.8</v>
      </c>
      <c r="E104" s="310">
        <f t="shared" ref="E104:E109" si="80">SUBTOTAL(9,F104:H104)</f>
        <v>0</v>
      </c>
      <c r="F104" s="311">
        <v>0</v>
      </c>
      <c r="G104" s="309">
        <v>0</v>
      </c>
      <c r="H104" s="310">
        <v>0</v>
      </c>
      <c r="I104" s="329">
        <f t="shared" ref="I104:I109" si="81">SUBTOTAL(9,J104:L104)</f>
        <v>4.8</v>
      </c>
      <c r="J104" s="309">
        <v>4.8</v>
      </c>
      <c r="K104" s="310">
        <v>0</v>
      </c>
      <c r="L104" s="311">
        <v>0</v>
      </c>
      <c r="M104" s="330" t="s">
        <v>444</v>
      </c>
    </row>
    <row r="105" s="263" customFormat="1" ht="22" customHeight="1" spans="1:13">
      <c r="A105" s="300" t="s">
        <v>445</v>
      </c>
      <c r="B105" s="301" t="s">
        <v>446</v>
      </c>
      <c r="C105" s="302"/>
      <c r="D105" s="303">
        <f t="shared" ref="D105:L105" si="82">D106</f>
        <v>2.53</v>
      </c>
      <c r="E105" s="304">
        <f t="shared" si="82"/>
        <v>0</v>
      </c>
      <c r="F105" s="305">
        <f t="shared" si="82"/>
        <v>0</v>
      </c>
      <c r="G105" s="303">
        <f t="shared" si="82"/>
        <v>0</v>
      </c>
      <c r="H105" s="304">
        <f t="shared" si="82"/>
        <v>0</v>
      </c>
      <c r="I105" s="327">
        <f t="shared" si="82"/>
        <v>2.53</v>
      </c>
      <c r="J105" s="303">
        <f t="shared" si="82"/>
        <v>2.53</v>
      </c>
      <c r="K105" s="304">
        <f t="shared" si="82"/>
        <v>0</v>
      </c>
      <c r="L105" s="305">
        <f t="shared" si="82"/>
        <v>0</v>
      </c>
      <c r="M105" s="328" t="s">
        <v>291</v>
      </c>
    </row>
    <row r="106" s="263" customFormat="1" ht="31" customHeight="1" spans="1:13">
      <c r="A106" s="306" t="s">
        <v>298</v>
      </c>
      <c r="B106" s="307" t="s">
        <v>298</v>
      </c>
      <c r="C106" s="308" t="s">
        <v>432</v>
      </c>
      <c r="D106" s="309">
        <f t="shared" ref="D106:D111" si="83">E106+I106</f>
        <v>2.53</v>
      </c>
      <c r="E106" s="310">
        <f t="shared" si="80"/>
        <v>0</v>
      </c>
      <c r="F106" s="311">
        <v>0</v>
      </c>
      <c r="G106" s="309">
        <v>0</v>
      </c>
      <c r="H106" s="310">
        <v>0</v>
      </c>
      <c r="I106" s="329">
        <f t="shared" si="81"/>
        <v>2.53</v>
      </c>
      <c r="J106" s="309">
        <v>2.53</v>
      </c>
      <c r="K106" s="310">
        <v>0</v>
      </c>
      <c r="L106" s="311">
        <v>0</v>
      </c>
      <c r="M106" s="330" t="s">
        <v>447</v>
      </c>
    </row>
    <row r="107" s="263" customFormat="1" ht="18.75" customHeight="1" spans="1:13">
      <c r="A107" s="294" t="s">
        <v>448</v>
      </c>
      <c r="B107" s="295" t="s">
        <v>449</v>
      </c>
      <c r="C107" s="296"/>
      <c r="D107" s="297">
        <f t="shared" ref="D107:L107" si="84">D108+D110+D112</f>
        <v>930.968</v>
      </c>
      <c r="E107" s="298">
        <f t="shared" si="84"/>
        <v>770.068</v>
      </c>
      <c r="F107" s="299">
        <f t="shared" si="84"/>
        <v>643.4191</v>
      </c>
      <c r="G107" s="297">
        <f t="shared" si="84"/>
        <v>113.897</v>
      </c>
      <c r="H107" s="298">
        <f t="shared" si="84"/>
        <v>12.7519</v>
      </c>
      <c r="I107" s="325">
        <f t="shared" si="84"/>
        <v>160.9</v>
      </c>
      <c r="J107" s="297">
        <f t="shared" si="84"/>
        <v>132.5</v>
      </c>
      <c r="K107" s="298">
        <f t="shared" si="84"/>
        <v>0</v>
      </c>
      <c r="L107" s="299">
        <f t="shared" si="84"/>
        <v>28.4</v>
      </c>
      <c r="M107" s="326" t="s">
        <v>291</v>
      </c>
    </row>
    <row r="108" s="263" customFormat="1" ht="27" customHeight="1" spans="1:13">
      <c r="A108" s="300" t="s">
        <v>450</v>
      </c>
      <c r="B108" s="301" t="s">
        <v>451</v>
      </c>
      <c r="C108" s="302"/>
      <c r="D108" s="303">
        <f t="shared" ref="D108:L108" si="85">D109</f>
        <v>874.168</v>
      </c>
      <c r="E108" s="304">
        <f t="shared" si="85"/>
        <v>770.068</v>
      </c>
      <c r="F108" s="305">
        <f t="shared" si="85"/>
        <v>643.4191</v>
      </c>
      <c r="G108" s="303">
        <f t="shared" si="85"/>
        <v>113.897</v>
      </c>
      <c r="H108" s="304">
        <f t="shared" si="85"/>
        <v>12.7519</v>
      </c>
      <c r="I108" s="327">
        <f t="shared" si="85"/>
        <v>104.1</v>
      </c>
      <c r="J108" s="303">
        <f t="shared" si="85"/>
        <v>104.1</v>
      </c>
      <c r="K108" s="304">
        <f t="shared" si="85"/>
        <v>0</v>
      </c>
      <c r="L108" s="305">
        <f t="shared" si="85"/>
        <v>0</v>
      </c>
      <c r="M108" s="328" t="s">
        <v>291</v>
      </c>
    </row>
    <row r="109" s="263" customFormat="1" ht="82" customHeight="1" spans="1:13">
      <c r="A109" s="306" t="s">
        <v>298</v>
      </c>
      <c r="B109" s="307" t="s">
        <v>298</v>
      </c>
      <c r="C109" s="308" t="s">
        <v>452</v>
      </c>
      <c r="D109" s="309">
        <f t="shared" si="83"/>
        <v>874.168</v>
      </c>
      <c r="E109" s="310">
        <f t="shared" si="80"/>
        <v>770.068</v>
      </c>
      <c r="F109" s="311">
        <v>643.4191</v>
      </c>
      <c r="G109" s="309">
        <v>113.897</v>
      </c>
      <c r="H109" s="310">
        <v>12.7519</v>
      </c>
      <c r="I109" s="329">
        <f t="shared" si="81"/>
        <v>104.1</v>
      </c>
      <c r="J109" s="309">
        <v>104.1</v>
      </c>
      <c r="K109" s="310">
        <v>0</v>
      </c>
      <c r="L109" s="311">
        <v>0</v>
      </c>
      <c r="M109" s="330" t="s">
        <v>453</v>
      </c>
    </row>
    <row r="110" s="263" customFormat="1" ht="22" customHeight="1" spans="1:13">
      <c r="A110" s="300" t="s">
        <v>454</v>
      </c>
      <c r="B110" s="301" t="s">
        <v>455</v>
      </c>
      <c r="C110" s="302"/>
      <c r="D110" s="303">
        <f t="shared" ref="D110:L110" si="86">D111</f>
        <v>28.4</v>
      </c>
      <c r="E110" s="304">
        <f t="shared" si="86"/>
        <v>0</v>
      </c>
      <c r="F110" s="305">
        <f t="shared" si="86"/>
        <v>0</v>
      </c>
      <c r="G110" s="303">
        <f t="shared" si="86"/>
        <v>0</v>
      </c>
      <c r="H110" s="304">
        <f t="shared" si="86"/>
        <v>0</v>
      </c>
      <c r="I110" s="327">
        <f t="shared" si="86"/>
        <v>28.4</v>
      </c>
      <c r="J110" s="303">
        <f t="shared" si="86"/>
        <v>28.4</v>
      </c>
      <c r="K110" s="304">
        <f t="shared" si="86"/>
        <v>0</v>
      </c>
      <c r="L110" s="305">
        <f t="shared" si="86"/>
        <v>0</v>
      </c>
      <c r="M110" s="328" t="s">
        <v>291</v>
      </c>
    </row>
    <row r="111" s="263" customFormat="1" ht="18.75" customHeight="1" spans="1:13">
      <c r="A111" s="306" t="s">
        <v>298</v>
      </c>
      <c r="B111" s="307" t="s">
        <v>298</v>
      </c>
      <c r="C111" s="308" t="s">
        <v>452</v>
      </c>
      <c r="D111" s="309">
        <f t="shared" si="83"/>
        <v>28.4</v>
      </c>
      <c r="E111" s="310">
        <f t="shared" ref="E111:E116" si="87">SUBTOTAL(9,F111:H111)</f>
        <v>0</v>
      </c>
      <c r="F111" s="311">
        <v>0</v>
      </c>
      <c r="G111" s="309">
        <v>0</v>
      </c>
      <c r="H111" s="310">
        <v>0</v>
      </c>
      <c r="I111" s="329">
        <f t="shared" ref="I111:I116" si="88">SUBTOTAL(9,J111:L111)</f>
        <v>28.4</v>
      </c>
      <c r="J111" s="309">
        <v>28.4</v>
      </c>
      <c r="K111" s="310">
        <v>0</v>
      </c>
      <c r="L111" s="311">
        <v>0</v>
      </c>
      <c r="M111" s="330" t="s">
        <v>456</v>
      </c>
    </row>
    <row r="112" s="263" customFormat="1" ht="26" customHeight="1" spans="1:13">
      <c r="A112" s="300" t="s">
        <v>457</v>
      </c>
      <c r="B112" s="301" t="s">
        <v>458</v>
      </c>
      <c r="C112" s="302"/>
      <c r="D112" s="303">
        <f t="shared" ref="D112:L112" si="89">D113</f>
        <v>28.4</v>
      </c>
      <c r="E112" s="304">
        <f t="shared" si="89"/>
        <v>0</v>
      </c>
      <c r="F112" s="305">
        <f t="shared" si="89"/>
        <v>0</v>
      </c>
      <c r="G112" s="303">
        <f t="shared" si="89"/>
        <v>0</v>
      </c>
      <c r="H112" s="304">
        <f t="shared" si="89"/>
        <v>0</v>
      </c>
      <c r="I112" s="327">
        <f t="shared" si="89"/>
        <v>28.4</v>
      </c>
      <c r="J112" s="303">
        <f t="shared" si="89"/>
        <v>0</v>
      </c>
      <c r="K112" s="304">
        <f t="shared" si="89"/>
        <v>0</v>
      </c>
      <c r="L112" s="305">
        <f t="shared" si="89"/>
        <v>28.4</v>
      </c>
      <c r="M112" s="328" t="s">
        <v>291</v>
      </c>
    </row>
    <row r="113" s="263" customFormat="1" ht="28" customHeight="1" spans="1:13">
      <c r="A113" s="306" t="s">
        <v>298</v>
      </c>
      <c r="B113" s="307" t="s">
        <v>298</v>
      </c>
      <c r="C113" s="308" t="s">
        <v>452</v>
      </c>
      <c r="D113" s="309">
        <f t="shared" ref="D113:D118" si="90">E113+I113</f>
        <v>28.4</v>
      </c>
      <c r="E113" s="310">
        <f t="shared" si="87"/>
        <v>0</v>
      </c>
      <c r="F113" s="311">
        <v>0</v>
      </c>
      <c r="G113" s="309">
        <v>0</v>
      </c>
      <c r="H113" s="310">
        <v>0</v>
      </c>
      <c r="I113" s="329">
        <f t="shared" si="88"/>
        <v>28.4</v>
      </c>
      <c r="J113" s="309">
        <v>0</v>
      </c>
      <c r="K113" s="310">
        <v>0</v>
      </c>
      <c r="L113" s="311">
        <v>28.4</v>
      </c>
      <c r="M113" s="330" t="s">
        <v>459</v>
      </c>
    </row>
    <row r="114" s="263" customFormat="1" ht="18.75" customHeight="1" spans="1:13">
      <c r="A114" s="294" t="s">
        <v>460</v>
      </c>
      <c r="B114" s="295" t="s">
        <v>461</v>
      </c>
      <c r="C114" s="296"/>
      <c r="D114" s="297">
        <f t="shared" ref="D114:L114" si="91">D115+D117+D119+D121</f>
        <v>519.9735</v>
      </c>
      <c r="E114" s="298">
        <f t="shared" si="91"/>
        <v>396.9035</v>
      </c>
      <c r="F114" s="299">
        <f t="shared" si="91"/>
        <v>307.6684</v>
      </c>
      <c r="G114" s="297">
        <f t="shared" si="91"/>
        <v>36.592</v>
      </c>
      <c r="H114" s="298">
        <f t="shared" si="91"/>
        <v>52.6431</v>
      </c>
      <c r="I114" s="325">
        <f t="shared" si="91"/>
        <v>123.07</v>
      </c>
      <c r="J114" s="297">
        <f t="shared" si="91"/>
        <v>123.07</v>
      </c>
      <c r="K114" s="298">
        <f t="shared" si="91"/>
        <v>0</v>
      </c>
      <c r="L114" s="299">
        <f t="shared" si="91"/>
        <v>0</v>
      </c>
      <c r="M114" s="326" t="s">
        <v>291</v>
      </c>
    </row>
    <row r="115" s="263" customFormat="1" ht="27" customHeight="1" spans="1:13">
      <c r="A115" s="300" t="s">
        <v>462</v>
      </c>
      <c r="B115" s="301" t="s">
        <v>463</v>
      </c>
      <c r="C115" s="302"/>
      <c r="D115" s="303">
        <f t="shared" ref="D115:L115" si="92">D116</f>
        <v>335.1138</v>
      </c>
      <c r="E115" s="304">
        <f t="shared" si="92"/>
        <v>335.1138</v>
      </c>
      <c r="F115" s="305">
        <f t="shared" si="92"/>
        <v>256.3731</v>
      </c>
      <c r="G115" s="303">
        <f t="shared" si="92"/>
        <v>30.142</v>
      </c>
      <c r="H115" s="304">
        <f t="shared" si="92"/>
        <v>48.5987</v>
      </c>
      <c r="I115" s="327">
        <f t="shared" si="92"/>
        <v>0</v>
      </c>
      <c r="J115" s="303">
        <f t="shared" si="92"/>
        <v>0</v>
      </c>
      <c r="K115" s="304">
        <f t="shared" si="92"/>
        <v>0</v>
      </c>
      <c r="L115" s="305">
        <f t="shared" si="92"/>
        <v>0</v>
      </c>
      <c r="M115" s="328" t="s">
        <v>291</v>
      </c>
    </row>
    <row r="116" s="263" customFormat="1" ht="18.75" customHeight="1" spans="1:13">
      <c r="A116" s="306" t="s">
        <v>298</v>
      </c>
      <c r="B116" s="307" t="s">
        <v>298</v>
      </c>
      <c r="C116" s="308" t="s">
        <v>464</v>
      </c>
      <c r="D116" s="309">
        <f t="shared" si="90"/>
        <v>335.1138</v>
      </c>
      <c r="E116" s="310">
        <f t="shared" si="87"/>
        <v>335.1138</v>
      </c>
      <c r="F116" s="311">
        <v>256.3731</v>
      </c>
      <c r="G116" s="309">
        <v>30.142</v>
      </c>
      <c r="H116" s="310">
        <v>48.5987</v>
      </c>
      <c r="I116" s="329">
        <f t="shared" si="88"/>
        <v>0</v>
      </c>
      <c r="J116" s="309">
        <v>0</v>
      </c>
      <c r="K116" s="310">
        <v>0</v>
      </c>
      <c r="L116" s="311">
        <v>0</v>
      </c>
      <c r="M116" s="330" t="s">
        <v>291</v>
      </c>
    </row>
    <row r="117" s="263" customFormat="1" ht="28" customHeight="1" spans="1:13">
      <c r="A117" s="300" t="s">
        <v>465</v>
      </c>
      <c r="B117" s="301" t="s">
        <v>466</v>
      </c>
      <c r="C117" s="302"/>
      <c r="D117" s="303">
        <f t="shared" ref="D117:L117" si="93">D118</f>
        <v>29.6</v>
      </c>
      <c r="E117" s="304">
        <f t="shared" si="93"/>
        <v>0</v>
      </c>
      <c r="F117" s="305">
        <f t="shared" si="93"/>
        <v>0</v>
      </c>
      <c r="G117" s="303">
        <f t="shared" si="93"/>
        <v>0</v>
      </c>
      <c r="H117" s="304">
        <f t="shared" si="93"/>
        <v>0</v>
      </c>
      <c r="I117" s="327">
        <f t="shared" si="93"/>
        <v>29.6</v>
      </c>
      <c r="J117" s="303">
        <f t="shared" si="93"/>
        <v>29.6</v>
      </c>
      <c r="K117" s="304">
        <f t="shared" si="93"/>
        <v>0</v>
      </c>
      <c r="L117" s="305">
        <f t="shared" si="93"/>
        <v>0</v>
      </c>
      <c r="M117" s="328" t="s">
        <v>291</v>
      </c>
    </row>
    <row r="118" s="263" customFormat="1" ht="80" customHeight="1" spans="1:13">
      <c r="A118" s="306" t="s">
        <v>298</v>
      </c>
      <c r="B118" s="307" t="s">
        <v>298</v>
      </c>
      <c r="C118" s="308" t="s">
        <v>464</v>
      </c>
      <c r="D118" s="309">
        <f t="shared" si="90"/>
        <v>29.6</v>
      </c>
      <c r="E118" s="310">
        <f t="shared" ref="E118:E122" si="94">SUBTOTAL(9,F118:H118)</f>
        <v>0</v>
      </c>
      <c r="F118" s="311">
        <v>0</v>
      </c>
      <c r="G118" s="309">
        <v>0</v>
      </c>
      <c r="H118" s="310">
        <v>0</v>
      </c>
      <c r="I118" s="329">
        <f t="shared" ref="I118:I122" si="95">SUBTOTAL(9,J118:L118)</f>
        <v>29.6</v>
      </c>
      <c r="J118" s="309">
        <v>29.6</v>
      </c>
      <c r="K118" s="310">
        <v>0</v>
      </c>
      <c r="L118" s="311">
        <v>0</v>
      </c>
      <c r="M118" s="330" t="s">
        <v>467</v>
      </c>
    </row>
    <row r="119" s="263" customFormat="1" ht="22" customHeight="1" spans="1:13">
      <c r="A119" s="300" t="s">
        <v>468</v>
      </c>
      <c r="B119" s="301" t="s">
        <v>469</v>
      </c>
      <c r="C119" s="302"/>
      <c r="D119" s="303">
        <f t="shared" ref="D119:L119" si="96">D120</f>
        <v>117.4997</v>
      </c>
      <c r="E119" s="304">
        <f t="shared" si="96"/>
        <v>61.7897</v>
      </c>
      <c r="F119" s="305">
        <f t="shared" si="96"/>
        <v>51.2953</v>
      </c>
      <c r="G119" s="303">
        <f t="shared" si="96"/>
        <v>6.45</v>
      </c>
      <c r="H119" s="304">
        <f t="shared" si="96"/>
        <v>4.0444</v>
      </c>
      <c r="I119" s="327">
        <f t="shared" si="96"/>
        <v>55.71</v>
      </c>
      <c r="J119" s="303">
        <f t="shared" si="96"/>
        <v>55.71</v>
      </c>
      <c r="K119" s="304">
        <f t="shared" si="96"/>
        <v>0</v>
      </c>
      <c r="L119" s="305">
        <f t="shared" si="96"/>
        <v>0</v>
      </c>
      <c r="M119" s="328" t="s">
        <v>291</v>
      </c>
    </row>
    <row r="120" s="263" customFormat="1" ht="69" customHeight="1" spans="1:13">
      <c r="A120" s="306" t="s">
        <v>298</v>
      </c>
      <c r="B120" s="307" t="s">
        <v>298</v>
      </c>
      <c r="C120" s="308" t="s">
        <v>470</v>
      </c>
      <c r="D120" s="309">
        <f t="shared" ref="D120:D125" si="97">E120+I120</f>
        <v>117.4997</v>
      </c>
      <c r="E120" s="310">
        <f t="shared" si="94"/>
        <v>61.7897</v>
      </c>
      <c r="F120" s="311">
        <v>51.2953</v>
      </c>
      <c r="G120" s="309">
        <v>6.45</v>
      </c>
      <c r="H120" s="310">
        <v>4.0444</v>
      </c>
      <c r="I120" s="329">
        <f t="shared" si="95"/>
        <v>55.71</v>
      </c>
      <c r="J120" s="309">
        <v>55.71</v>
      </c>
      <c r="K120" s="310">
        <v>0</v>
      </c>
      <c r="L120" s="311">
        <v>0</v>
      </c>
      <c r="M120" s="330" t="s">
        <v>471</v>
      </c>
    </row>
    <row r="121" s="263" customFormat="1" ht="26" customHeight="1" spans="1:13">
      <c r="A121" s="300" t="s">
        <v>472</v>
      </c>
      <c r="B121" s="301" t="s">
        <v>473</v>
      </c>
      <c r="C121" s="302"/>
      <c r="D121" s="303">
        <f t="shared" ref="D121:L121" si="98">D122</f>
        <v>37.76</v>
      </c>
      <c r="E121" s="304">
        <f t="shared" si="98"/>
        <v>0</v>
      </c>
      <c r="F121" s="305">
        <f t="shared" si="98"/>
        <v>0</v>
      </c>
      <c r="G121" s="303">
        <f t="shared" si="98"/>
        <v>0</v>
      </c>
      <c r="H121" s="304">
        <f t="shared" si="98"/>
        <v>0</v>
      </c>
      <c r="I121" s="327">
        <f t="shared" si="98"/>
        <v>37.76</v>
      </c>
      <c r="J121" s="303">
        <f t="shared" si="98"/>
        <v>37.76</v>
      </c>
      <c r="K121" s="304">
        <f t="shared" si="98"/>
        <v>0</v>
      </c>
      <c r="L121" s="305">
        <f t="shared" si="98"/>
        <v>0</v>
      </c>
      <c r="M121" s="328" t="s">
        <v>291</v>
      </c>
    </row>
    <row r="122" s="263" customFormat="1" ht="31" customHeight="1" spans="1:13">
      <c r="A122" s="306" t="s">
        <v>298</v>
      </c>
      <c r="B122" s="307" t="s">
        <v>298</v>
      </c>
      <c r="C122" s="308" t="s">
        <v>464</v>
      </c>
      <c r="D122" s="309">
        <f t="shared" si="97"/>
        <v>37.76</v>
      </c>
      <c r="E122" s="310">
        <f t="shared" si="94"/>
        <v>0</v>
      </c>
      <c r="F122" s="311">
        <v>0</v>
      </c>
      <c r="G122" s="309">
        <v>0</v>
      </c>
      <c r="H122" s="310">
        <v>0</v>
      </c>
      <c r="I122" s="329">
        <f t="shared" si="95"/>
        <v>37.76</v>
      </c>
      <c r="J122" s="309">
        <v>37.76</v>
      </c>
      <c r="K122" s="310">
        <v>0</v>
      </c>
      <c r="L122" s="311">
        <v>0</v>
      </c>
      <c r="M122" s="330" t="s">
        <v>474</v>
      </c>
    </row>
    <row r="123" s="263" customFormat="1" ht="18.75" customHeight="1" spans="1:13">
      <c r="A123" s="294" t="s">
        <v>475</v>
      </c>
      <c r="B123" s="295" t="s">
        <v>476</v>
      </c>
      <c r="C123" s="296"/>
      <c r="D123" s="297">
        <f t="shared" ref="D123:L123" si="99">D124+D126+D128</f>
        <v>135.7847</v>
      </c>
      <c r="E123" s="298">
        <f t="shared" si="99"/>
        <v>94.0547</v>
      </c>
      <c r="F123" s="299">
        <f t="shared" si="99"/>
        <v>76.5673</v>
      </c>
      <c r="G123" s="297">
        <f t="shared" si="99"/>
        <v>10.908</v>
      </c>
      <c r="H123" s="298">
        <f t="shared" si="99"/>
        <v>6.5794</v>
      </c>
      <c r="I123" s="325">
        <f t="shared" si="99"/>
        <v>41.73</v>
      </c>
      <c r="J123" s="297">
        <f t="shared" si="99"/>
        <v>41.73</v>
      </c>
      <c r="K123" s="298">
        <f t="shared" si="99"/>
        <v>0</v>
      </c>
      <c r="L123" s="299">
        <f t="shared" si="99"/>
        <v>0</v>
      </c>
      <c r="M123" s="326" t="s">
        <v>291</v>
      </c>
    </row>
    <row r="124" s="263" customFormat="1" ht="27" customHeight="1" spans="1:13">
      <c r="A124" s="300" t="s">
        <v>477</v>
      </c>
      <c r="B124" s="301" t="s">
        <v>478</v>
      </c>
      <c r="C124" s="302"/>
      <c r="D124" s="303">
        <f t="shared" ref="D124:L124" si="100">D125</f>
        <v>94.1722</v>
      </c>
      <c r="E124" s="304">
        <f t="shared" si="100"/>
        <v>61.6522</v>
      </c>
      <c r="F124" s="305">
        <f t="shared" si="100"/>
        <v>48.6228</v>
      </c>
      <c r="G124" s="303">
        <f t="shared" si="100"/>
        <v>7.05</v>
      </c>
      <c r="H124" s="304">
        <f t="shared" si="100"/>
        <v>5.9794</v>
      </c>
      <c r="I124" s="327">
        <f t="shared" si="100"/>
        <v>32.52</v>
      </c>
      <c r="J124" s="303">
        <f t="shared" si="100"/>
        <v>32.52</v>
      </c>
      <c r="K124" s="304">
        <f t="shared" si="100"/>
        <v>0</v>
      </c>
      <c r="L124" s="305">
        <f t="shared" si="100"/>
        <v>0</v>
      </c>
      <c r="M124" s="328" t="s">
        <v>291</v>
      </c>
    </row>
    <row r="125" s="263" customFormat="1" ht="47" customHeight="1" spans="1:13">
      <c r="A125" s="306" t="s">
        <v>298</v>
      </c>
      <c r="B125" s="307" t="s">
        <v>298</v>
      </c>
      <c r="C125" s="308" t="s">
        <v>479</v>
      </c>
      <c r="D125" s="309">
        <f t="shared" si="97"/>
        <v>94.1722</v>
      </c>
      <c r="E125" s="310">
        <f t="shared" ref="E125:E129" si="101">SUBTOTAL(9,F125:H125)</f>
        <v>61.6522</v>
      </c>
      <c r="F125" s="311">
        <v>48.6228</v>
      </c>
      <c r="G125" s="309">
        <v>7.05</v>
      </c>
      <c r="H125" s="310">
        <v>5.9794</v>
      </c>
      <c r="I125" s="329">
        <f t="shared" ref="I125:I129" si="102">SUBTOTAL(9,J125:L125)</f>
        <v>32.52</v>
      </c>
      <c r="J125" s="309">
        <v>32.52</v>
      </c>
      <c r="K125" s="310">
        <v>0</v>
      </c>
      <c r="L125" s="311">
        <v>0</v>
      </c>
      <c r="M125" s="330" t="s">
        <v>480</v>
      </c>
    </row>
    <row r="126" s="263" customFormat="1" ht="27" customHeight="1" spans="1:13">
      <c r="A126" s="300" t="s">
        <v>481</v>
      </c>
      <c r="B126" s="301" t="s">
        <v>482</v>
      </c>
      <c r="C126" s="302"/>
      <c r="D126" s="303">
        <f t="shared" ref="D126:L126" si="103">D127</f>
        <v>35.1025</v>
      </c>
      <c r="E126" s="304">
        <f t="shared" si="103"/>
        <v>32.4025</v>
      </c>
      <c r="F126" s="305">
        <f t="shared" si="103"/>
        <v>27.9445</v>
      </c>
      <c r="G126" s="303">
        <f t="shared" si="103"/>
        <v>3.858</v>
      </c>
      <c r="H126" s="304">
        <f t="shared" si="103"/>
        <v>0.6</v>
      </c>
      <c r="I126" s="327">
        <f t="shared" si="103"/>
        <v>2.7</v>
      </c>
      <c r="J126" s="303">
        <f t="shared" si="103"/>
        <v>2.7</v>
      </c>
      <c r="K126" s="304">
        <f t="shared" si="103"/>
        <v>0</v>
      </c>
      <c r="L126" s="305">
        <f t="shared" si="103"/>
        <v>0</v>
      </c>
      <c r="M126" s="328" t="s">
        <v>291</v>
      </c>
    </row>
    <row r="127" s="263" customFormat="1" ht="24" customHeight="1" spans="1:13">
      <c r="A127" s="306" t="s">
        <v>298</v>
      </c>
      <c r="B127" s="307" t="s">
        <v>298</v>
      </c>
      <c r="C127" s="312" t="s">
        <v>483</v>
      </c>
      <c r="D127" s="309">
        <f t="shared" ref="D127:D132" si="104">E127+I127</f>
        <v>35.1025</v>
      </c>
      <c r="E127" s="310">
        <f t="shared" si="101"/>
        <v>32.4025</v>
      </c>
      <c r="F127" s="311">
        <v>27.9445</v>
      </c>
      <c r="G127" s="309">
        <v>3.858</v>
      </c>
      <c r="H127" s="310">
        <v>0.6</v>
      </c>
      <c r="I127" s="329">
        <f t="shared" si="102"/>
        <v>2.7</v>
      </c>
      <c r="J127" s="309">
        <v>2.7</v>
      </c>
      <c r="K127" s="310">
        <v>0</v>
      </c>
      <c r="L127" s="311">
        <v>0</v>
      </c>
      <c r="M127" s="330" t="s">
        <v>484</v>
      </c>
    </row>
    <row r="128" s="263" customFormat="1" ht="22" customHeight="1" spans="1:13">
      <c r="A128" s="300" t="s">
        <v>485</v>
      </c>
      <c r="B128" s="301" t="s">
        <v>486</v>
      </c>
      <c r="C128" s="302"/>
      <c r="D128" s="303">
        <f t="shared" ref="D128:L128" si="105">D129</f>
        <v>6.51</v>
      </c>
      <c r="E128" s="304">
        <f t="shared" si="105"/>
        <v>0</v>
      </c>
      <c r="F128" s="305">
        <f t="shared" si="105"/>
        <v>0</v>
      </c>
      <c r="G128" s="303">
        <f t="shared" si="105"/>
        <v>0</v>
      </c>
      <c r="H128" s="304">
        <f t="shared" si="105"/>
        <v>0</v>
      </c>
      <c r="I128" s="327">
        <f t="shared" si="105"/>
        <v>6.51</v>
      </c>
      <c r="J128" s="303">
        <f t="shared" si="105"/>
        <v>6.51</v>
      </c>
      <c r="K128" s="304">
        <f t="shared" si="105"/>
        <v>0</v>
      </c>
      <c r="L128" s="305">
        <f t="shared" si="105"/>
        <v>0</v>
      </c>
      <c r="M128" s="328" t="s">
        <v>291</v>
      </c>
    </row>
    <row r="129" s="263" customFormat="1" ht="28" customHeight="1" spans="1:13">
      <c r="A129" s="306" t="s">
        <v>298</v>
      </c>
      <c r="B129" s="307" t="s">
        <v>298</v>
      </c>
      <c r="C129" s="308" t="s">
        <v>479</v>
      </c>
      <c r="D129" s="309">
        <f t="shared" si="104"/>
        <v>6.51</v>
      </c>
      <c r="E129" s="310">
        <f t="shared" si="101"/>
        <v>0</v>
      </c>
      <c r="F129" s="311">
        <v>0</v>
      </c>
      <c r="G129" s="309">
        <v>0</v>
      </c>
      <c r="H129" s="310">
        <v>0</v>
      </c>
      <c r="I129" s="329">
        <f t="shared" si="102"/>
        <v>6.51</v>
      </c>
      <c r="J129" s="309">
        <v>6.51</v>
      </c>
      <c r="K129" s="310">
        <v>0</v>
      </c>
      <c r="L129" s="311">
        <v>0</v>
      </c>
      <c r="M129" s="330" t="s">
        <v>487</v>
      </c>
    </row>
    <row r="130" s="263" customFormat="1" ht="18.75" customHeight="1" spans="1:13">
      <c r="A130" s="294" t="s">
        <v>488</v>
      </c>
      <c r="B130" s="295" t="s">
        <v>489</v>
      </c>
      <c r="C130" s="296"/>
      <c r="D130" s="297">
        <f t="shared" ref="D130:L130" si="106">D131+D133</f>
        <v>2.88</v>
      </c>
      <c r="E130" s="298">
        <f t="shared" si="106"/>
        <v>0</v>
      </c>
      <c r="F130" s="299">
        <f t="shared" si="106"/>
        <v>0</v>
      </c>
      <c r="G130" s="297">
        <f t="shared" si="106"/>
        <v>0</v>
      </c>
      <c r="H130" s="298">
        <f t="shared" si="106"/>
        <v>0</v>
      </c>
      <c r="I130" s="325">
        <f t="shared" si="106"/>
        <v>2.88</v>
      </c>
      <c r="J130" s="297">
        <f t="shared" si="106"/>
        <v>2.88</v>
      </c>
      <c r="K130" s="298">
        <f t="shared" si="106"/>
        <v>0</v>
      </c>
      <c r="L130" s="299">
        <f t="shared" si="106"/>
        <v>0</v>
      </c>
      <c r="M130" s="326" t="s">
        <v>291</v>
      </c>
    </row>
    <row r="131" s="263" customFormat="1" ht="22" customHeight="1" spans="1:13">
      <c r="A131" s="300" t="s">
        <v>490</v>
      </c>
      <c r="B131" s="301" t="s">
        <v>491</v>
      </c>
      <c r="C131" s="302"/>
      <c r="D131" s="303">
        <f t="shared" ref="D131:L131" si="107">D132</f>
        <v>1.44</v>
      </c>
      <c r="E131" s="304">
        <f t="shared" si="107"/>
        <v>0</v>
      </c>
      <c r="F131" s="305">
        <f t="shared" si="107"/>
        <v>0</v>
      </c>
      <c r="G131" s="303">
        <f t="shared" si="107"/>
        <v>0</v>
      </c>
      <c r="H131" s="304">
        <f t="shared" si="107"/>
        <v>0</v>
      </c>
      <c r="I131" s="327">
        <f t="shared" si="107"/>
        <v>1.44</v>
      </c>
      <c r="J131" s="303">
        <f t="shared" si="107"/>
        <v>1.44</v>
      </c>
      <c r="K131" s="304">
        <f t="shared" si="107"/>
        <v>0</v>
      </c>
      <c r="L131" s="305">
        <f t="shared" si="107"/>
        <v>0</v>
      </c>
      <c r="M131" s="328" t="s">
        <v>291</v>
      </c>
    </row>
    <row r="132" s="263" customFormat="1" ht="18.75" customHeight="1" spans="1:13">
      <c r="A132" s="306" t="s">
        <v>298</v>
      </c>
      <c r="B132" s="307" t="s">
        <v>298</v>
      </c>
      <c r="C132" s="308" t="s">
        <v>492</v>
      </c>
      <c r="D132" s="309">
        <f t="shared" si="104"/>
        <v>1.44</v>
      </c>
      <c r="E132" s="310">
        <f t="shared" ref="E132:E137" si="108">SUBTOTAL(9,F132:H132)</f>
        <v>0</v>
      </c>
      <c r="F132" s="311">
        <v>0</v>
      </c>
      <c r="G132" s="309">
        <v>0</v>
      </c>
      <c r="H132" s="310">
        <v>0</v>
      </c>
      <c r="I132" s="329">
        <f t="shared" ref="I132:I137" si="109">SUBTOTAL(9,J132:L132)</f>
        <v>1.44</v>
      </c>
      <c r="J132" s="309">
        <v>1.44</v>
      </c>
      <c r="K132" s="310">
        <v>0</v>
      </c>
      <c r="L132" s="311">
        <v>0</v>
      </c>
      <c r="M132" s="330" t="s">
        <v>493</v>
      </c>
    </row>
    <row r="133" s="263" customFormat="1" ht="22" customHeight="1" spans="1:13">
      <c r="A133" s="300" t="s">
        <v>494</v>
      </c>
      <c r="B133" s="301" t="s">
        <v>495</v>
      </c>
      <c r="C133" s="302"/>
      <c r="D133" s="303">
        <f t="shared" ref="D133:L133" si="110">D134</f>
        <v>1.44</v>
      </c>
      <c r="E133" s="304">
        <f t="shared" si="110"/>
        <v>0</v>
      </c>
      <c r="F133" s="305">
        <f t="shared" si="110"/>
        <v>0</v>
      </c>
      <c r="G133" s="303">
        <f t="shared" si="110"/>
        <v>0</v>
      </c>
      <c r="H133" s="304">
        <f t="shared" si="110"/>
        <v>0</v>
      </c>
      <c r="I133" s="327">
        <f t="shared" si="110"/>
        <v>1.44</v>
      </c>
      <c r="J133" s="303">
        <f t="shared" si="110"/>
        <v>1.44</v>
      </c>
      <c r="K133" s="304">
        <f t="shared" si="110"/>
        <v>0</v>
      </c>
      <c r="L133" s="305">
        <f t="shared" si="110"/>
        <v>0</v>
      </c>
      <c r="M133" s="328" t="s">
        <v>291</v>
      </c>
    </row>
    <row r="134" s="263" customFormat="1" ht="18.75" customHeight="1" spans="1:13">
      <c r="A134" s="306" t="s">
        <v>298</v>
      </c>
      <c r="B134" s="307" t="s">
        <v>298</v>
      </c>
      <c r="C134" s="308" t="s">
        <v>492</v>
      </c>
      <c r="D134" s="309">
        <f t="shared" ref="D134:D139" si="111">E134+I134</f>
        <v>1.44</v>
      </c>
      <c r="E134" s="310">
        <f t="shared" si="108"/>
        <v>0</v>
      </c>
      <c r="F134" s="311">
        <v>0</v>
      </c>
      <c r="G134" s="309">
        <v>0</v>
      </c>
      <c r="H134" s="310">
        <v>0</v>
      </c>
      <c r="I134" s="329">
        <f t="shared" si="109"/>
        <v>1.44</v>
      </c>
      <c r="J134" s="309">
        <v>1.44</v>
      </c>
      <c r="K134" s="310">
        <v>0</v>
      </c>
      <c r="L134" s="311">
        <v>0</v>
      </c>
      <c r="M134" s="330" t="s">
        <v>496</v>
      </c>
    </row>
    <row r="135" s="263" customFormat="1" ht="18.75" customHeight="1" spans="1:13">
      <c r="A135" s="294" t="s">
        <v>497</v>
      </c>
      <c r="B135" s="295" t="s">
        <v>498</v>
      </c>
      <c r="C135" s="296"/>
      <c r="D135" s="297">
        <f t="shared" ref="D135:L135" si="112">D136+D138</f>
        <v>97.5546</v>
      </c>
      <c r="E135" s="298">
        <f t="shared" si="112"/>
        <v>64.5546</v>
      </c>
      <c r="F135" s="299">
        <f t="shared" si="112"/>
        <v>50.9845</v>
      </c>
      <c r="G135" s="297">
        <f t="shared" si="112"/>
        <v>7.73</v>
      </c>
      <c r="H135" s="298">
        <f t="shared" si="112"/>
        <v>5.8401</v>
      </c>
      <c r="I135" s="325">
        <f t="shared" si="112"/>
        <v>33</v>
      </c>
      <c r="J135" s="297">
        <f t="shared" si="112"/>
        <v>33</v>
      </c>
      <c r="K135" s="298">
        <f t="shared" si="112"/>
        <v>0</v>
      </c>
      <c r="L135" s="299">
        <f t="shared" si="112"/>
        <v>0</v>
      </c>
      <c r="M135" s="326" t="s">
        <v>291</v>
      </c>
    </row>
    <row r="136" s="263" customFormat="1" ht="28" customHeight="1" spans="1:13">
      <c r="A136" s="300" t="s">
        <v>499</v>
      </c>
      <c r="B136" s="301" t="s">
        <v>500</v>
      </c>
      <c r="C136" s="302"/>
      <c r="D136" s="303">
        <f t="shared" ref="D136:L136" si="113">D137</f>
        <v>64.5546</v>
      </c>
      <c r="E136" s="304">
        <f t="shared" si="113"/>
        <v>64.5546</v>
      </c>
      <c r="F136" s="305">
        <f t="shared" si="113"/>
        <v>50.9845</v>
      </c>
      <c r="G136" s="303">
        <f t="shared" si="113"/>
        <v>7.73</v>
      </c>
      <c r="H136" s="304">
        <f t="shared" si="113"/>
        <v>5.8401</v>
      </c>
      <c r="I136" s="327">
        <f t="shared" si="113"/>
        <v>0</v>
      </c>
      <c r="J136" s="303">
        <f t="shared" si="113"/>
        <v>0</v>
      </c>
      <c r="K136" s="304">
        <f t="shared" si="113"/>
        <v>0</v>
      </c>
      <c r="L136" s="305">
        <f t="shared" si="113"/>
        <v>0</v>
      </c>
      <c r="M136" s="328" t="s">
        <v>291</v>
      </c>
    </row>
    <row r="137" s="263" customFormat="1" ht="18.75" customHeight="1" spans="1:13">
      <c r="A137" s="306" t="s">
        <v>298</v>
      </c>
      <c r="B137" s="307" t="s">
        <v>298</v>
      </c>
      <c r="C137" s="308" t="s">
        <v>501</v>
      </c>
      <c r="D137" s="309">
        <f t="shared" si="111"/>
        <v>64.5546</v>
      </c>
      <c r="E137" s="310">
        <f t="shared" si="108"/>
        <v>64.5546</v>
      </c>
      <c r="F137" s="311">
        <v>50.9845</v>
      </c>
      <c r="G137" s="309">
        <v>7.73</v>
      </c>
      <c r="H137" s="310">
        <v>5.8401</v>
      </c>
      <c r="I137" s="329">
        <f t="shared" si="109"/>
        <v>0</v>
      </c>
      <c r="J137" s="309">
        <v>0</v>
      </c>
      <c r="K137" s="310">
        <v>0</v>
      </c>
      <c r="L137" s="311">
        <v>0</v>
      </c>
      <c r="M137" s="330" t="s">
        <v>291</v>
      </c>
    </row>
    <row r="138" s="263" customFormat="1" ht="26" customHeight="1" spans="1:13">
      <c r="A138" s="300" t="s">
        <v>502</v>
      </c>
      <c r="B138" s="301" t="s">
        <v>503</v>
      </c>
      <c r="C138" s="302"/>
      <c r="D138" s="303">
        <f t="shared" ref="D138:L138" si="114">D139</f>
        <v>33</v>
      </c>
      <c r="E138" s="304">
        <f t="shared" si="114"/>
        <v>0</v>
      </c>
      <c r="F138" s="305">
        <f t="shared" si="114"/>
        <v>0</v>
      </c>
      <c r="G138" s="303">
        <f t="shared" si="114"/>
        <v>0</v>
      </c>
      <c r="H138" s="304">
        <f t="shared" si="114"/>
        <v>0</v>
      </c>
      <c r="I138" s="327">
        <f t="shared" si="114"/>
        <v>33</v>
      </c>
      <c r="J138" s="303">
        <f t="shared" si="114"/>
        <v>33</v>
      </c>
      <c r="K138" s="304">
        <f t="shared" si="114"/>
        <v>0</v>
      </c>
      <c r="L138" s="305">
        <f t="shared" si="114"/>
        <v>0</v>
      </c>
      <c r="M138" s="328" t="s">
        <v>291</v>
      </c>
    </row>
    <row r="139" s="263" customFormat="1" ht="49" customHeight="1" spans="1:13">
      <c r="A139" s="306" t="s">
        <v>298</v>
      </c>
      <c r="B139" s="307" t="s">
        <v>298</v>
      </c>
      <c r="C139" s="308" t="s">
        <v>501</v>
      </c>
      <c r="D139" s="309">
        <f t="shared" si="111"/>
        <v>33</v>
      </c>
      <c r="E139" s="310">
        <f t="shared" ref="E139:E144" si="115">SUBTOTAL(9,F139:H139)</f>
        <v>0</v>
      </c>
      <c r="F139" s="311">
        <v>0</v>
      </c>
      <c r="G139" s="309">
        <v>0</v>
      </c>
      <c r="H139" s="310">
        <v>0</v>
      </c>
      <c r="I139" s="329">
        <f t="shared" ref="I139:I144" si="116">SUBTOTAL(9,J139:L139)</f>
        <v>33</v>
      </c>
      <c r="J139" s="309">
        <v>33</v>
      </c>
      <c r="K139" s="310">
        <v>0</v>
      </c>
      <c r="L139" s="311">
        <v>0</v>
      </c>
      <c r="M139" s="330" t="s">
        <v>504</v>
      </c>
    </row>
    <row r="140" s="263" customFormat="1" ht="24" customHeight="1" spans="1:13">
      <c r="A140" s="294" t="s">
        <v>505</v>
      </c>
      <c r="B140" s="295" t="s">
        <v>506</v>
      </c>
      <c r="C140" s="296"/>
      <c r="D140" s="297">
        <f t="shared" ref="D140:L140" si="117">D141+D143</f>
        <v>51.3454</v>
      </c>
      <c r="E140" s="298">
        <f t="shared" si="117"/>
        <v>31.5354</v>
      </c>
      <c r="F140" s="299">
        <f t="shared" si="117"/>
        <v>27.5814</v>
      </c>
      <c r="G140" s="297">
        <f t="shared" si="117"/>
        <v>3.948</v>
      </c>
      <c r="H140" s="298">
        <f t="shared" si="117"/>
        <v>0.006</v>
      </c>
      <c r="I140" s="325">
        <f t="shared" si="117"/>
        <v>19.81</v>
      </c>
      <c r="J140" s="297">
        <f t="shared" si="117"/>
        <v>19.81</v>
      </c>
      <c r="K140" s="298">
        <f t="shared" si="117"/>
        <v>0</v>
      </c>
      <c r="L140" s="299">
        <f t="shared" si="117"/>
        <v>0</v>
      </c>
      <c r="M140" s="326" t="s">
        <v>291</v>
      </c>
    </row>
    <row r="141" s="263" customFormat="1" ht="28" customHeight="1" spans="1:13">
      <c r="A141" s="300" t="s">
        <v>507</v>
      </c>
      <c r="B141" s="301" t="s">
        <v>508</v>
      </c>
      <c r="C141" s="302"/>
      <c r="D141" s="303">
        <f t="shared" ref="D141:L141" si="118">D142</f>
        <v>47.0254</v>
      </c>
      <c r="E141" s="304">
        <f t="shared" si="118"/>
        <v>31.5354</v>
      </c>
      <c r="F141" s="305">
        <f t="shared" si="118"/>
        <v>27.5814</v>
      </c>
      <c r="G141" s="303">
        <f t="shared" si="118"/>
        <v>3.948</v>
      </c>
      <c r="H141" s="304">
        <f t="shared" si="118"/>
        <v>0.006</v>
      </c>
      <c r="I141" s="327">
        <f t="shared" si="118"/>
        <v>15.49</v>
      </c>
      <c r="J141" s="303">
        <f t="shared" si="118"/>
        <v>15.49</v>
      </c>
      <c r="K141" s="304">
        <f t="shared" si="118"/>
        <v>0</v>
      </c>
      <c r="L141" s="305">
        <f t="shared" si="118"/>
        <v>0</v>
      </c>
      <c r="M141" s="328" t="s">
        <v>291</v>
      </c>
    </row>
    <row r="142" s="263" customFormat="1" ht="48" customHeight="1" spans="1:13">
      <c r="A142" s="306" t="s">
        <v>298</v>
      </c>
      <c r="B142" s="307" t="s">
        <v>298</v>
      </c>
      <c r="C142" s="308" t="s">
        <v>509</v>
      </c>
      <c r="D142" s="309">
        <f t="shared" ref="D142:D150" si="119">E142+I142</f>
        <v>47.0254</v>
      </c>
      <c r="E142" s="310">
        <f t="shared" si="115"/>
        <v>31.5354</v>
      </c>
      <c r="F142" s="311">
        <v>27.5814</v>
      </c>
      <c r="G142" s="309">
        <v>3.948</v>
      </c>
      <c r="H142" s="310">
        <v>0.006</v>
      </c>
      <c r="I142" s="329">
        <f t="shared" si="116"/>
        <v>15.49</v>
      </c>
      <c r="J142" s="309">
        <v>15.49</v>
      </c>
      <c r="K142" s="310">
        <v>0</v>
      </c>
      <c r="L142" s="311">
        <v>0</v>
      </c>
      <c r="M142" s="330" t="s">
        <v>510</v>
      </c>
    </row>
    <row r="143" s="263" customFormat="1" ht="22" customHeight="1" spans="1:13">
      <c r="A143" s="300" t="s">
        <v>511</v>
      </c>
      <c r="B143" s="301" t="s">
        <v>339</v>
      </c>
      <c r="C143" s="302"/>
      <c r="D143" s="303">
        <f t="shared" ref="D143:L143" si="120">D144</f>
        <v>4.32</v>
      </c>
      <c r="E143" s="304">
        <f t="shared" si="120"/>
        <v>0</v>
      </c>
      <c r="F143" s="305">
        <f t="shared" si="120"/>
        <v>0</v>
      </c>
      <c r="G143" s="303">
        <f t="shared" si="120"/>
        <v>0</v>
      </c>
      <c r="H143" s="304">
        <f t="shared" si="120"/>
        <v>0</v>
      </c>
      <c r="I143" s="327">
        <f t="shared" si="120"/>
        <v>4.32</v>
      </c>
      <c r="J143" s="303">
        <f t="shared" si="120"/>
        <v>4.32</v>
      </c>
      <c r="K143" s="304">
        <f t="shared" si="120"/>
        <v>0</v>
      </c>
      <c r="L143" s="305">
        <f t="shared" si="120"/>
        <v>0</v>
      </c>
      <c r="M143" s="328" t="s">
        <v>291</v>
      </c>
    </row>
    <row r="144" s="263" customFormat="1" ht="24" customHeight="1" spans="1:13">
      <c r="A144" s="306" t="s">
        <v>298</v>
      </c>
      <c r="B144" s="307" t="s">
        <v>298</v>
      </c>
      <c r="C144" s="308" t="s">
        <v>509</v>
      </c>
      <c r="D144" s="309">
        <f t="shared" si="119"/>
        <v>4.32</v>
      </c>
      <c r="E144" s="310">
        <f t="shared" si="115"/>
        <v>0</v>
      </c>
      <c r="F144" s="311">
        <v>0</v>
      </c>
      <c r="G144" s="309">
        <v>0</v>
      </c>
      <c r="H144" s="310">
        <v>0</v>
      </c>
      <c r="I144" s="329">
        <f t="shared" si="116"/>
        <v>4.32</v>
      </c>
      <c r="J144" s="309">
        <v>4.32</v>
      </c>
      <c r="K144" s="310">
        <v>0</v>
      </c>
      <c r="L144" s="311">
        <v>0</v>
      </c>
      <c r="M144" s="330" t="s">
        <v>512</v>
      </c>
    </row>
    <row r="145" s="263" customFormat="1" ht="27" customHeight="1" spans="1:13">
      <c r="A145" s="294" t="s">
        <v>513</v>
      </c>
      <c r="B145" s="295" t="s">
        <v>514</v>
      </c>
      <c r="C145" s="296"/>
      <c r="D145" s="297">
        <f t="shared" ref="D145:L145" si="121">D146+D151</f>
        <v>1318.6925</v>
      </c>
      <c r="E145" s="298">
        <f t="shared" si="121"/>
        <v>1073.4625</v>
      </c>
      <c r="F145" s="299">
        <f t="shared" si="121"/>
        <v>79.0453</v>
      </c>
      <c r="G145" s="297">
        <f t="shared" si="121"/>
        <v>993.8172</v>
      </c>
      <c r="H145" s="298">
        <f t="shared" si="121"/>
        <v>0.6</v>
      </c>
      <c r="I145" s="325">
        <f t="shared" si="121"/>
        <v>245.23</v>
      </c>
      <c r="J145" s="297">
        <f t="shared" si="121"/>
        <v>145.85</v>
      </c>
      <c r="K145" s="298">
        <f t="shared" si="121"/>
        <v>0</v>
      </c>
      <c r="L145" s="299">
        <f t="shared" si="121"/>
        <v>99.38</v>
      </c>
      <c r="M145" s="326" t="s">
        <v>291</v>
      </c>
    </row>
    <row r="146" s="263" customFormat="1" ht="30" customHeight="1" spans="1:13">
      <c r="A146" s="300" t="s">
        <v>515</v>
      </c>
      <c r="B146" s="301" t="s">
        <v>516</v>
      </c>
      <c r="C146" s="302"/>
      <c r="D146" s="303">
        <f t="shared" ref="D146:L146" si="122">SUM(D147:D150)</f>
        <v>335.0633</v>
      </c>
      <c r="E146" s="304">
        <f t="shared" si="122"/>
        <v>89.8333</v>
      </c>
      <c r="F146" s="305">
        <f t="shared" si="122"/>
        <v>79.0453</v>
      </c>
      <c r="G146" s="303">
        <f t="shared" si="122"/>
        <v>10.188</v>
      </c>
      <c r="H146" s="304">
        <f t="shared" si="122"/>
        <v>0.6</v>
      </c>
      <c r="I146" s="327">
        <f t="shared" si="122"/>
        <v>245.23</v>
      </c>
      <c r="J146" s="303">
        <f t="shared" si="122"/>
        <v>145.85</v>
      </c>
      <c r="K146" s="304">
        <f t="shared" si="122"/>
        <v>0</v>
      </c>
      <c r="L146" s="305">
        <f t="shared" si="122"/>
        <v>99.38</v>
      </c>
      <c r="M146" s="328" t="s">
        <v>291</v>
      </c>
    </row>
    <row r="147" s="263" customFormat="1" ht="85" customHeight="1" spans="1:13">
      <c r="A147" s="306" t="s">
        <v>298</v>
      </c>
      <c r="B147" s="307" t="s">
        <v>298</v>
      </c>
      <c r="C147" s="308" t="s">
        <v>517</v>
      </c>
      <c r="D147" s="309">
        <f t="shared" si="119"/>
        <v>195.6879</v>
      </c>
      <c r="E147" s="310">
        <f t="shared" ref="E147:E150" si="123">SUBTOTAL(9,F147:H147)</f>
        <v>38.8479</v>
      </c>
      <c r="F147" s="311">
        <v>34.8699</v>
      </c>
      <c r="G147" s="309">
        <v>3.978</v>
      </c>
      <c r="H147" s="310">
        <v>0</v>
      </c>
      <c r="I147" s="329">
        <f t="shared" ref="I147:I150" si="124">SUBTOTAL(9,J147:L147)</f>
        <v>156.84</v>
      </c>
      <c r="J147" s="309">
        <f>14.1+43.36</f>
        <v>57.46</v>
      </c>
      <c r="K147" s="310">
        <v>0</v>
      </c>
      <c r="L147" s="311">
        <v>99.38</v>
      </c>
      <c r="M147" s="330" t="s">
        <v>518</v>
      </c>
    </row>
    <row r="148" s="263" customFormat="1" ht="94" customHeight="1" spans="1:13">
      <c r="A148" s="306" t="s">
        <v>298</v>
      </c>
      <c r="B148" s="307" t="s">
        <v>298</v>
      </c>
      <c r="C148" s="308" t="s">
        <v>519</v>
      </c>
      <c r="D148" s="309">
        <f t="shared" si="119"/>
        <v>127.7954</v>
      </c>
      <c r="E148" s="310">
        <f t="shared" si="123"/>
        <v>50.9854</v>
      </c>
      <c r="F148" s="311">
        <v>44.1754</v>
      </c>
      <c r="G148" s="309">
        <v>6.21</v>
      </c>
      <c r="H148" s="310">
        <v>0.6</v>
      </c>
      <c r="I148" s="329">
        <f t="shared" si="124"/>
        <v>76.81</v>
      </c>
      <c r="J148" s="309">
        <v>76.81</v>
      </c>
      <c r="K148" s="310">
        <v>0</v>
      </c>
      <c r="L148" s="311">
        <v>0</v>
      </c>
      <c r="M148" s="330" t="s">
        <v>520</v>
      </c>
    </row>
    <row r="149" s="263" customFormat="1" ht="24" customHeight="1" spans="1:13">
      <c r="A149" s="306" t="s">
        <v>298</v>
      </c>
      <c r="B149" s="307" t="s">
        <v>298</v>
      </c>
      <c r="C149" s="308" t="s">
        <v>521</v>
      </c>
      <c r="D149" s="309">
        <f t="shared" si="119"/>
        <v>5.2</v>
      </c>
      <c r="E149" s="310">
        <f t="shared" si="123"/>
        <v>0</v>
      </c>
      <c r="F149" s="311">
        <v>0</v>
      </c>
      <c r="G149" s="309">
        <v>0</v>
      </c>
      <c r="H149" s="310">
        <v>0</v>
      </c>
      <c r="I149" s="329">
        <f t="shared" si="124"/>
        <v>5.2</v>
      </c>
      <c r="J149" s="309">
        <v>5.2</v>
      </c>
      <c r="K149" s="310">
        <v>0</v>
      </c>
      <c r="L149" s="311">
        <v>0</v>
      </c>
      <c r="M149" s="330" t="s">
        <v>522</v>
      </c>
    </row>
    <row r="150" s="263" customFormat="1" ht="24" customHeight="1" spans="1:13">
      <c r="A150" s="306" t="s">
        <v>298</v>
      </c>
      <c r="B150" s="307" t="s">
        <v>298</v>
      </c>
      <c r="C150" s="308" t="s">
        <v>523</v>
      </c>
      <c r="D150" s="309">
        <f t="shared" si="119"/>
        <v>6.38</v>
      </c>
      <c r="E150" s="310">
        <f t="shared" si="123"/>
        <v>0</v>
      </c>
      <c r="F150" s="311">
        <v>0</v>
      </c>
      <c r="G150" s="309">
        <v>0</v>
      </c>
      <c r="H150" s="310">
        <v>0</v>
      </c>
      <c r="I150" s="329">
        <f t="shared" si="124"/>
        <v>6.38</v>
      </c>
      <c r="J150" s="309">
        <v>6.38</v>
      </c>
      <c r="K150" s="310">
        <v>0</v>
      </c>
      <c r="L150" s="311">
        <v>0</v>
      </c>
      <c r="M150" s="330" t="s">
        <v>524</v>
      </c>
    </row>
    <row r="151" s="263" customFormat="1" ht="30" customHeight="1" spans="1:13">
      <c r="A151" s="300" t="s">
        <v>525</v>
      </c>
      <c r="B151" s="301" t="s">
        <v>526</v>
      </c>
      <c r="C151" s="302"/>
      <c r="D151" s="303">
        <f t="shared" ref="D151:L151" si="125">SUM(D152:D229)</f>
        <v>983.6292</v>
      </c>
      <c r="E151" s="304">
        <f t="shared" si="125"/>
        <v>983.6292</v>
      </c>
      <c r="F151" s="305">
        <f t="shared" si="125"/>
        <v>0</v>
      </c>
      <c r="G151" s="303">
        <f t="shared" si="125"/>
        <v>983.6292</v>
      </c>
      <c r="H151" s="304">
        <f t="shared" si="125"/>
        <v>0</v>
      </c>
      <c r="I151" s="327">
        <f t="shared" si="125"/>
        <v>0</v>
      </c>
      <c r="J151" s="303">
        <f t="shared" si="125"/>
        <v>0</v>
      </c>
      <c r="K151" s="304">
        <f t="shared" si="125"/>
        <v>0</v>
      </c>
      <c r="L151" s="305">
        <f t="shared" si="125"/>
        <v>0</v>
      </c>
      <c r="M151" s="328" t="s">
        <v>527</v>
      </c>
    </row>
    <row r="152" s="263" customFormat="1" ht="16" customHeight="1" spans="1:13">
      <c r="A152" s="306" t="s">
        <v>298</v>
      </c>
      <c r="B152" s="307" t="s">
        <v>298</v>
      </c>
      <c r="C152" s="308" t="s">
        <v>528</v>
      </c>
      <c r="D152" s="309">
        <f t="shared" ref="D152:D215" si="126">E152+I152</f>
        <v>3.8884</v>
      </c>
      <c r="E152" s="310">
        <f t="shared" ref="E152:E215" si="127">SUBTOTAL(9,F152:H152)</f>
        <v>3.8884</v>
      </c>
      <c r="F152" s="311">
        <v>0</v>
      </c>
      <c r="G152" s="309">
        <v>3.8884</v>
      </c>
      <c r="H152" s="310">
        <v>0</v>
      </c>
      <c r="I152" s="329">
        <f t="shared" ref="I152:I215" si="128">SUBTOTAL(9,J152:L152)</f>
        <v>0</v>
      </c>
      <c r="J152" s="309">
        <v>0</v>
      </c>
      <c r="K152" s="310">
        <v>0</v>
      </c>
      <c r="L152" s="311">
        <v>0</v>
      </c>
      <c r="M152" s="330" t="s">
        <v>291</v>
      </c>
    </row>
    <row r="153" s="263" customFormat="1" ht="18.75" customHeight="1" spans="1:13">
      <c r="A153" s="306" t="s">
        <v>298</v>
      </c>
      <c r="B153" s="307" t="s">
        <v>298</v>
      </c>
      <c r="C153" s="308" t="s">
        <v>348</v>
      </c>
      <c r="D153" s="309">
        <f t="shared" si="126"/>
        <v>3.8247</v>
      </c>
      <c r="E153" s="310">
        <f t="shared" si="127"/>
        <v>3.8247</v>
      </c>
      <c r="F153" s="311">
        <v>0</v>
      </c>
      <c r="G153" s="309">
        <v>3.8247</v>
      </c>
      <c r="H153" s="310">
        <v>0</v>
      </c>
      <c r="I153" s="329">
        <f t="shared" si="128"/>
        <v>0</v>
      </c>
      <c r="J153" s="309">
        <v>0</v>
      </c>
      <c r="K153" s="310">
        <v>0</v>
      </c>
      <c r="L153" s="311">
        <v>0</v>
      </c>
      <c r="M153" s="330" t="s">
        <v>291</v>
      </c>
    </row>
    <row r="154" s="263" customFormat="1" ht="18.75" customHeight="1" spans="1:13">
      <c r="A154" s="306" t="s">
        <v>298</v>
      </c>
      <c r="B154" s="307" t="s">
        <v>298</v>
      </c>
      <c r="C154" s="308" t="s">
        <v>299</v>
      </c>
      <c r="D154" s="309">
        <f t="shared" si="126"/>
        <v>4.2226</v>
      </c>
      <c r="E154" s="310">
        <f t="shared" si="127"/>
        <v>4.2226</v>
      </c>
      <c r="F154" s="311">
        <v>0</v>
      </c>
      <c r="G154" s="309">
        <v>4.2226</v>
      </c>
      <c r="H154" s="310">
        <v>0</v>
      </c>
      <c r="I154" s="329">
        <f t="shared" si="128"/>
        <v>0</v>
      </c>
      <c r="J154" s="309">
        <v>0</v>
      </c>
      <c r="K154" s="310">
        <v>0</v>
      </c>
      <c r="L154" s="311">
        <v>0</v>
      </c>
      <c r="M154" s="330" t="s">
        <v>291</v>
      </c>
    </row>
    <row r="155" s="263" customFormat="1" ht="18.75" customHeight="1" spans="1:13">
      <c r="A155" s="306" t="s">
        <v>298</v>
      </c>
      <c r="B155" s="307" t="s">
        <v>298</v>
      </c>
      <c r="C155" s="308" t="s">
        <v>327</v>
      </c>
      <c r="D155" s="309">
        <f t="shared" si="126"/>
        <v>2.9717</v>
      </c>
      <c r="E155" s="310">
        <f t="shared" si="127"/>
        <v>2.9717</v>
      </c>
      <c r="F155" s="311">
        <v>0</v>
      </c>
      <c r="G155" s="309">
        <v>2.9717</v>
      </c>
      <c r="H155" s="310">
        <v>0</v>
      </c>
      <c r="I155" s="329">
        <f t="shared" si="128"/>
        <v>0</v>
      </c>
      <c r="J155" s="309">
        <v>0</v>
      </c>
      <c r="K155" s="310">
        <v>0</v>
      </c>
      <c r="L155" s="311">
        <v>0</v>
      </c>
      <c r="M155" s="330" t="s">
        <v>291</v>
      </c>
    </row>
    <row r="156" s="263" customFormat="1" ht="18.75" customHeight="1" spans="1:13">
      <c r="A156" s="306" t="s">
        <v>298</v>
      </c>
      <c r="B156" s="307" t="s">
        <v>298</v>
      </c>
      <c r="C156" s="308" t="s">
        <v>529</v>
      </c>
      <c r="D156" s="309">
        <f t="shared" si="126"/>
        <v>4.9992</v>
      </c>
      <c r="E156" s="310">
        <f t="shared" si="127"/>
        <v>4.9992</v>
      </c>
      <c r="F156" s="311">
        <v>0</v>
      </c>
      <c r="G156" s="309">
        <v>4.9992</v>
      </c>
      <c r="H156" s="310">
        <v>0</v>
      </c>
      <c r="I156" s="329">
        <f t="shared" si="128"/>
        <v>0</v>
      </c>
      <c r="J156" s="309">
        <v>0</v>
      </c>
      <c r="K156" s="310">
        <v>0</v>
      </c>
      <c r="L156" s="311">
        <v>0</v>
      </c>
      <c r="M156" s="330" t="s">
        <v>291</v>
      </c>
    </row>
    <row r="157" s="263" customFormat="1" ht="18.75" customHeight="1" spans="1:13">
      <c r="A157" s="306" t="s">
        <v>298</v>
      </c>
      <c r="B157" s="307" t="s">
        <v>298</v>
      </c>
      <c r="C157" s="308" t="s">
        <v>452</v>
      </c>
      <c r="D157" s="309">
        <f t="shared" si="126"/>
        <v>10.0225</v>
      </c>
      <c r="E157" s="310">
        <f t="shared" si="127"/>
        <v>10.0225</v>
      </c>
      <c r="F157" s="311">
        <v>0</v>
      </c>
      <c r="G157" s="309">
        <v>10.0225</v>
      </c>
      <c r="H157" s="310">
        <v>0</v>
      </c>
      <c r="I157" s="329">
        <f t="shared" si="128"/>
        <v>0</v>
      </c>
      <c r="J157" s="309">
        <v>0</v>
      </c>
      <c r="K157" s="310">
        <v>0</v>
      </c>
      <c r="L157" s="311">
        <v>0</v>
      </c>
      <c r="M157" s="330" t="s">
        <v>291</v>
      </c>
    </row>
    <row r="158" s="263" customFormat="1" ht="18.75" customHeight="1" spans="1:13">
      <c r="A158" s="306" t="s">
        <v>298</v>
      </c>
      <c r="B158" s="307" t="s">
        <v>298</v>
      </c>
      <c r="C158" s="308" t="s">
        <v>492</v>
      </c>
      <c r="D158" s="309">
        <f t="shared" si="126"/>
        <v>0.9856</v>
      </c>
      <c r="E158" s="310">
        <f t="shared" si="127"/>
        <v>0.9856</v>
      </c>
      <c r="F158" s="311">
        <v>0</v>
      </c>
      <c r="G158" s="309">
        <v>0.9856</v>
      </c>
      <c r="H158" s="310">
        <v>0</v>
      </c>
      <c r="I158" s="329">
        <f t="shared" si="128"/>
        <v>0</v>
      </c>
      <c r="J158" s="309">
        <v>0</v>
      </c>
      <c r="K158" s="310">
        <v>0</v>
      </c>
      <c r="L158" s="311">
        <v>0</v>
      </c>
      <c r="M158" s="330" t="s">
        <v>291</v>
      </c>
    </row>
    <row r="159" s="263" customFormat="1" ht="18.75" customHeight="1" spans="1:13">
      <c r="A159" s="306" t="s">
        <v>298</v>
      </c>
      <c r="B159" s="307" t="s">
        <v>298</v>
      </c>
      <c r="C159" s="308" t="s">
        <v>530</v>
      </c>
      <c r="D159" s="309">
        <f t="shared" si="126"/>
        <v>1.8417</v>
      </c>
      <c r="E159" s="310">
        <f t="shared" si="127"/>
        <v>1.8417</v>
      </c>
      <c r="F159" s="311">
        <v>0</v>
      </c>
      <c r="G159" s="309">
        <v>1.8417</v>
      </c>
      <c r="H159" s="310">
        <v>0</v>
      </c>
      <c r="I159" s="329">
        <f t="shared" si="128"/>
        <v>0</v>
      </c>
      <c r="J159" s="309">
        <v>0</v>
      </c>
      <c r="K159" s="310">
        <v>0</v>
      </c>
      <c r="L159" s="311">
        <v>0</v>
      </c>
      <c r="M159" s="330" t="s">
        <v>291</v>
      </c>
    </row>
    <row r="160" s="263" customFormat="1" ht="18.75" customHeight="1" spans="1:13">
      <c r="A160" s="306" t="s">
        <v>298</v>
      </c>
      <c r="B160" s="307" t="s">
        <v>298</v>
      </c>
      <c r="C160" s="308" t="s">
        <v>531</v>
      </c>
      <c r="D160" s="309">
        <f t="shared" si="126"/>
        <v>38.3235</v>
      </c>
      <c r="E160" s="310">
        <f t="shared" si="127"/>
        <v>38.3235</v>
      </c>
      <c r="F160" s="311">
        <v>0</v>
      </c>
      <c r="G160" s="309">
        <v>38.3235</v>
      </c>
      <c r="H160" s="310">
        <v>0</v>
      </c>
      <c r="I160" s="329">
        <f t="shared" si="128"/>
        <v>0</v>
      </c>
      <c r="J160" s="309">
        <v>0</v>
      </c>
      <c r="K160" s="310">
        <v>0</v>
      </c>
      <c r="L160" s="311">
        <v>0</v>
      </c>
      <c r="M160" s="330" t="s">
        <v>291</v>
      </c>
    </row>
    <row r="161" s="263" customFormat="1" ht="18.75" customHeight="1" spans="1:13">
      <c r="A161" s="306" t="s">
        <v>298</v>
      </c>
      <c r="B161" s="307" t="s">
        <v>298</v>
      </c>
      <c r="C161" s="308" t="s">
        <v>532</v>
      </c>
      <c r="D161" s="309">
        <f t="shared" si="126"/>
        <v>4.489</v>
      </c>
      <c r="E161" s="310">
        <f t="shared" si="127"/>
        <v>4.489</v>
      </c>
      <c r="F161" s="311">
        <v>0</v>
      </c>
      <c r="G161" s="309">
        <v>4.489</v>
      </c>
      <c r="H161" s="310">
        <v>0</v>
      </c>
      <c r="I161" s="329">
        <f t="shared" si="128"/>
        <v>0</v>
      </c>
      <c r="J161" s="309">
        <v>0</v>
      </c>
      <c r="K161" s="310">
        <v>0</v>
      </c>
      <c r="L161" s="311">
        <v>0</v>
      </c>
      <c r="M161" s="330" t="s">
        <v>291</v>
      </c>
    </row>
    <row r="162" s="263" customFormat="1" ht="18.75" customHeight="1" spans="1:13">
      <c r="A162" s="306" t="s">
        <v>298</v>
      </c>
      <c r="B162" s="307" t="s">
        <v>298</v>
      </c>
      <c r="C162" s="308" t="s">
        <v>533</v>
      </c>
      <c r="D162" s="309">
        <f t="shared" si="126"/>
        <v>11.4543</v>
      </c>
      <c r="E162" s="310">
        <f t="shared" si="127"/>
        <v>11.4543</v>
      </c>
      <c r="F162" s="311">
        <v>0</v>
      </c>
      <c r="G162" s="309">
        <v>11.4543</v>
      </c>
      <c r="H162" s="310">
        <v>0</v>
      </c>
      <c r="I162" s="329">
        <f t="shared" si="128"/>
        <v>0</v>
      </c>
      <c r="J162" s="309">
        <v>0</v>
      </c>
      <c r="K162" s="310">
        <v>0</v>
      </c>
      <c r="L162" s="311">
        <v>0</v>
      </c>
      <c r="M162" s="330" t="s">
        <v>291</v>
      </c>
    </row>
    <row r="163" s="263" customFormat="1" ht="18.75" customHeight="1" spans="1:13">
      <c r="A163" s="306" t="s">
        <v>298</v>
      </c>
      <c r="B163" s="307" t="s">
        <v>298</v>
      </c>
      <c r="C163" s="308" t="s">
        <v>534</v>
      </c>
      <c r="D163" s="309">
        <f t="shared" si="126"/>
        <v>6.9941</v>
      </c>
      <c r="E163" s="310">
        <f t="shared" si="127"/>
        <v>6.9941</v>
      </c>
      <c r="F163" s="311">
        <v>0</v>
      </c>
      <c r="G163" s="309">
        <v>6.9941</v>
      </c>
      <c r="H163" s="310">
        <v>0</v>
      </c>
      <c r="I163" s="329">
        <f t="shared" si="128"/>
        <v>0</v>
      </c>
      <c r="J163" s="309">
        <v>0</v>
      </c>
      <c r="K163" s="310">
        <v>0</v>
      </c>
      <c r="L163" s="311">
        <v>0</v>
      </c>
      <c r="M163" s="330" t="s">
        <v>291</v>
      </c>
    </row>
    <row r="164" s="263" customFormat="1" ht="18.75" customHeight="1" spans="1:13">
      <c r="A164" s="306" t="s">
        <v>298</v>
      </c>
      <c r="B164" s="307" t="s">
        <v>298</v>
      </c>
      <c r="C164" s="308" t="s">
        <v>350</v>
      </c>
      <c r="D164" s="309">
        <f t="shared" si="126"/>
        <v>0.7144</v>
      </c>
      <c r="E164" s="310">
        <f t="shared" si="127"/>
        <v>0.7144</v>
      </c>
      <c r="F164" s="311">
        <v>0</v>
      </c>
      <c r="G164" s="309">
        <v>0.7144</v>
      </c>
      <c r="H164" s="310">
        <v>0</v>
      </c>
      <c r="I164" s="329">
        <f t="shared" si="128"/>
        <v>0</v>
      </c>
      <c r="J164" s="309">
        <v>0</v>
      </c>
      <c r="K164" s="310">
        <v>0</v>
      </c>
      <c r="L164" s="311">
        <v>0</v>
      </c>
      <c r="M164" s="330" t="s">
        <v>291</v>
      </c>
    </row>
    <row r="165" s="263" customFormat="1" ht="18.75" customHeight="1" spans="1:13">
      <c r="A165" s="306" t="s">
        <v>298</v>
      </c>
      <c r="B165" s="307" t="s">
        <v>298</v>
      </c>
      <c r="C165" s="308" t="s">
        <v>352</v>
      </c>
      <c r="D165" s="309">
        <f t="shared" si="126"/>
        <v>2.1899</v>
      </c>
      <c r="E165" s="310">
        <f t="shared" si="127"/>
        <v>2.1899</v>
      </c>
      <c r="F165" s="311">
        <v>0</v>
      </c>
      <c r="G165" s="309">
        <v>2.1899</v>
      </c>
      <c r="H165" s="310">
        <v>0</v>
      </c>
      <c r="I165" s="329">
        <f t="shared" si="128"/>
        <v>0</v>
      </c>
      <c r="J165" s="309">
        <v>0</v>
      </c>
      <c r="K165" s="310">
        <v>0</v>
      </c>
      <c r="L165" s="311">
        <v>0</v>
      </c>
      <c r="M165" s="330" t="s">
        <v>291</v>
      </c>
    </row>
    <row r="166" s="263" customFormat="1" ht="72" customHeight="1" spans="1:13">
      <c r="A166" s="306" t="s">
        <v>298</v>
      </c>
      <c r="B166" s="307" t="s">
        <v>298</v>
      </c>
      <c r="C166" s="308" t="s">
        <v>517</v>
      </c>
      <c r="D166" s="309">
        <f t="shared" si="126"/>
        <v>0.3544</v>
      </c>
      <c r="E166" s="310">
        <f t="shared" si="127"/>
        <v>0.3544</v>
      </c>
      <c r="F166" s="311">
        <v>0</v>
      </c>
      <c r="G166" s="309">
        <v>0.3544</v>
      </c>
      <c r="H166" s="310">
        <v>0</v>
      </c>
      <c r="I166" s="329">
        <f t="shared" si="128"/>
        <v>0</v>
      </c>
      <c r="J166" s="309"/>
      <c r="K166" s="310">
        <v>0</v>
      </c>
      <c r="L166" s="311"/>
      <c r="M166" s="330"/>
    </row>
    <row r="167" s="263" customFormat="1" ht="18.75" customHeight="1" spans="1:13">
      <c r="A167" s="306" t="s">
        <v>298</v>
      </c>
      <c r="B167" s="307" t="s">
        <v>298</v>
      </c>
      <c r="C167" s="308" t="s">
        <v>519</v>
      </c>
      <c r="D167" s="309">
        <f t="shared" si="126"/>
        <v>0.6324</v>
      </c>
      <c r="E167" s="310">
        <f t="shared" si="127"/>
        <v>0.6324</v>
      </c>
      <c r="F167" s="311">
        <v>0</v>
      </c>
      <c r="G167" s="309">
        <v>0.6324</v>
      </c>
      <c r="H167" s="310">
        <v>0</v>
      </c>
      <c r="I167" s="329">
        <f t="shared" si="128"/>
        <v>0</v>
      </c>
      <c r="J167" s="309">
        <v>0</v>
      </c>
      <c r="K167" s="310">
        <v>0</v>
      </c>
      <c r="L167" s="311">
        <v>0</v>
      </c>
      <c r="M167" s="330" t="s">
        <v>291</v>
      </c>
    </row>
    <row r="168" s="263" customFormat="1" ht="18.75" customHeight="1" spans="1:13">
      <c r="A168" s="306" t="s">
        <v>298</v>
      </c>
      <c r="B168" s="307" t="s">
        <v>298</v>
      </c>
      <c r="C168" s="308" t="s">
        <v>354</v>
      </c>
      <c r="D168" s="309">
        <f t="shared" si="126"/>
        <v>0.7092</v>
      </c>
      <c r="E168" s="310">
        <f t="shared" si="127"/>
        <v>0.7092</v>
      </c>
      <c r="F168" s="311">
        <v>0</v>
      </c>
      <c r="G168" s="309">
        <v>0.7092</v>
      </c>
      <c r="H168" s="310">
        <v>0</v>
      </c>
      <c r="I168" s="329">
        <f t="shared" si="128"/>
        <v>0</v>
      </c>
      <c r="J168" s="309">
        <v>0</v>
      </c>
      <c r="K168" s="310">
        <v>0</v>
      </c>
      <c r="L168" s="311">
        <v>0</v>
      </c>
      <c r="M168" s="330" t="s">
        <v>291</v>
      </c>
    </row>
    <row r="169" s="263" customFormat="1" ht="18.75" customHeight="1" spans="1:13">
      <c r="A169" s="306" t="s">
        <v>298</v>
      </c>
      <c r="B169" s="307" t="s">
        <v>298</v>
      </c>
      <c r="C169" s="308" t="s">
        <v>356</v>
      </c>
      <c r="D169" s="309">
        <f t="shared" si="126"/>
        <v>0.7108</v>
      </c>
      <c r="E169" s="310">
        <f t="shared" si="127"/>
        <v>0.7108</v>
      </c>
      <c r="F169" s="311">
        <v>0</v>
      </c>
      <c r="G169" s="309">
        <v>0.7108</v>
      </c>
      <c r="H169" s="310">
        <v>0</v>
      </c>
      <c r="I169" s="329">
        <f t="shared" si="128"/>
        <v>0</v>
      </c>
      <c r="J169" s="309">
        <v>0</v>
      </c>
      <c r="K169" s="310">
        <v>0</v>
      </c>
      <c r="L169" s="311">
        <v>0</v>
      </c>
      <c r="M169" s="330" t="s">
        <v>291</v>
      </c>
    </row>
    <row r="170" s="263" customFormat="1" ht="18.75" customHeight="1" spans="1:13">
      <c r="A170" s="306" t="s">
        <v>298</v>
      </c>
      <c r="B170" s="307" t="s">
        <v>298</v>
      </c>
      <c r="C170" s="308" t="s">
        <v>470</v>
      </c>
      <c r="D170" s="309">
        <f t="shared" si="126"/>
        <v>0.6327</v>
      </c>
      <c r="E170" s="310">
        <f t="shared" si="127"/>
        <v>0.6327</v>
      </c>
      <c r="F170" s="311">
        <v>0</v>
      </c>
      <c r="G170" s="309">
        <v>0.6327</v>
      </c>
      <c r="H170" s="310">
        <v>0</v>
      </c>
      <c r="I170" s="329">
        <f t="shared" si="128"/>
        <v>0</v>
      </c>
      <c r="J170" s="309">
        <v>0</v>
      </c>
      <c r="K170" s="310">
        <v>0</v>
      </c>
      <c r="L170" s="311">
        <v>0</v>
      </c>
      <c r="M170" s="330" t="s">
        <v>291</v>
      </c>
    </row>
    <row r="171" s="263" customFormat="1" ht="18.75" customHeight="1" spans="1:13">
      <c r="A171" s="306" t="s">
        <v>298</v>
      </c>
      <c r="B171" s="307" t="s">
        <v>298</v>
      </c>
      <c r="C171" s="308" t="s">
        <v>415</v>
      </c>
      <c r="D171" s="309">
        <f t="shared" si="126"/>
        <v>7.8576</v>
      </c>
      <c r="E171" s="310">
        <f t="shared" si="127"/>
        <v>7.8576</v>
      </c>
      <c r="F171" s="311">
        <v>0</v>
      </c>
      <c r="G171" s="309">
        <v>7.8576</v>
      </c>
      <c r="H171" s="310">
        <v>0</v>
      </c>
      <c r="I171" s="329">
        <f t="shared" si="128"/>
        <v>0</v>
      </c>
      <c r="J171" s="309">
        <v>0</v>
      </c>
      <c r="K171" s="310">
        <v>0</v>
      </c>
      <c r="L171" s="311">
        <v>0</v>
      </c>
      <c r="M171" s="330" t="s">
        <v>291</v>
      </c>
    </row>
    <row r="172" s="263" customFormat="1" ht="18.75" customHeight="1" spans="1:13">
      <c r="A172" s="306" t="s">
        <v>298</v>
      </c>
      <c r="B172" s="307" t="s">
        <v>298</v>
      </c>
      <c r="C172" s="308" t="s">
        <v>432</v>
      </c>
      <c r="D172" s="309">
        <f t="shared" si="126"/>
        <v>1.7731</v>
      </c>
      <c r="E172" s="310">
        <f t="shared" si="127"/>
        <v>1.7731</v>
      </c>
      <c r="F172" s="311">
        <v>0</v>
      </c>
      <c r="G172" s="309">
        <v>1.7731</v>
      </c>
      <c r="H172" s="310">
        <v>0</v>
      </c>
      <c r="I172" s="329">
        <f t="shared" si="128"/>
        <v>0</v>
      </c>
      <c r="J172" s="309">
        <v>0</v>
      </c>
      <c r="K172" s="310">
        <v>0</v>
      </c>
      <c r="L172" s="311">
        <v>0</v>
      </c>
      <c r="M172" s="330" t="s">
        <v>291</v>
      </c>
    </row>
    <row r="173" s="263" customFormat="1" ht="18.75" customHeight="1" spans="1:13">
      <c r="A173" s="306" t="s">
        <v>298</v>
      </c>
      <c r="B173" s="307" t="s">
        <v>298</v>
      </c>
      <c r="C173" s="308" t="s">
        <v>374</v>
      </c>
      <c r="D173" s="309">
        <f t="shared" si="126"/>
        <v>1.2695</v>
      </c>
      <c r="E173" s="310">
        <f t="shared" si="127"/>
        <v>1.2695</v>
      </c>
      <c r="F173" s="311">
        <v>0</v>
      </c>
      <c r="G173" s="309">
        <v>1.2695</v>
      </c>
      <c r="H173" s="310">
        <v>0</v>
      </c>
      <c r="I173" s="329">
        <f t="shared" si="128"/>
        <v>0</v>
      </c>
      <c r="J173" s="309">
        <v>0</v>
      </c>
      <c r="K173" s="310">
        <v>0</v>
      </c>
      <c r="L173" s="311">
        <v>0</v>
      </c>
      <c r="M173" s="330" t="s">
        <v>291</v>
      </c>
    </row>
    <row r="174" s="263" customFormat="1" ht="18.75" customHeight="1" spans="1:13">
      <c r="A174" s="306" t="s">
        <v>298</v>
      </c>
      <c r="B174" s="307" t="s">
        <v>298</v>
      </c>
      <c r="C174" s="308" t="s">
        <v>398</v>
      </c>
      <c r="D174" s="309">
        <f t="shared" si="126"/>
        <v>1.5376</v>
      </c>
      <c r="E174" s="310">
        <f t="shared" si="127"/>
        <v>1.5376</v>
      </c>
      <c r="F174" s="311">
        <v>0</v>
      </c>
      <c r="G174" s="309">
        <v>1.5376</v>
      </c>
      <c r="H174" s="310">
        <v>0</v>
      </c>
      <c r="I174" s="329">
        <f t="shared" si="128"/>
        <v>0</v>
      </c>
      <c r="J174" s="309">
        <v>0</v>
      </c>
      <c r="K174" s="310">
        <v>0</v>
      </c>
      <c r="L174" s="311">
        <v>0</v>
      </c>
      <c r="M174" s="330" t="s">
        <v>291</v>
      </c>
    </row>
    <row r="175" s="263" customFormat="1" ht="18.75" customHeight="1" spans="1:13">
      <c r="A175" s="306" t="s">
        <v>298</v>
      </c>
      <c r="B175" s="307" t="s">
        <v>298</v>
      </c>
      <c r="C175" s="308" t="s">
        <v>358</v>
      </c>
      <c r="D175" s="309">
        <f t="shared" si="126"/>
        <v>1.5641</v>
      </c>
      <c r="E175" s="310">
        <f t="shared" si="127"/>
        <v>1.5641</v>
      </c>
      <c r="F175" s="311">
        <v>0</v>
      </c>
      <c r="G175" s="309">
        <v>1.5641</v>
      </c>
      <c r="H175" s="310">
        <v>0</v>
      </c>
      <c r="I175" s="329">
        <f t="shared" si="128"/>
        <v>0</v>
      </c>
      <c r="J175" s="309">
        <v>0</v>
      </c>
      <c r="K175" s="310">
        <v>0</v>
      </c>
      <c r="L175" s="311">
        <v>0</v>
      </c>
      <c r="M175" s="330" t="s">
        <v>291</v>
      </c>
    </row>
    <row r="176" s="263" customFormat="1" ht="18.75" customHeight="1" spans="1:13">
      <c r="A176" s="306" t="s">
        <v>298</v>
      </c>
      <c r="B176" s="307" t="s">
        <v>298</v>
      </c>
      <c r="C176" s="308" t="s">
        <v>509</v>
      </c>
      <c r="D176" s="309">
        <f t="shared" si="126"/>
        <v>0.3727</v>
      </c>
      <c r="E176" s="310">
        <f t="shared" si="127"/>
        <v>0.3727</v>
      </c>
      <c r="F176" s="311">
        <v>0</v>
      </c>
      <c r="G176" s="309">
        <v>0.3727</v>
      </c>
      <c r="H176" s="310">
        <v>0</v>
      </c>
      <c r="I176" s="329">
        <f t="shared" si="128"/>
        <v>0</v>
      </c>
      <c r="J176" s="309">
        <v>0</v>
      </c>
      <c r="K176" s="310">
        <v>0</v>
      </c>
      <c r="L176" s="311">
        <v>0</v>
      </c>
      <c r="M176" s="330" t="s">
        <v>291</v>
      </c>
    </row>
    <row r="177" s="263" customFormat="1" ht="18.75" customHeight="1" spans="1:13">
      <c r="A177" s="306" t="s">
        <v>298</v>
      </c>
      <c r="B177" s="307" t="s">
        <v>298</v>
      </c>
      <c r="C177" s="308" t="s">
        <v>535</v>
      </c>
      <c r="D177" s="309">
        <f t="shared" si="126"/>
        <v>0.9246</v>
      </c>
      <c r="E177" s="310">
        <f t="shared" si="127"/>
        <v>0.9246</v>
      </c>
      <c r="F177" s="311">
        <v>0</v>
      </c>
      <c r="G177" s="309">
        <v>0.9246</v>
      </c>
      <c r="H177" s="310">
        <v>0</v>
      </c>
      <c r="I177" s="329">
        <f t="shared" si="128"/>
        <v>0</v>
      </c>
      <c r="J177" s="309">
        <v>0</v>
      </c>
      <c r="K177" s="310">
        <v>0</v>
      </c>
      <c r="L177" s="311">
        <v>0</v>
      </c>
      <c r="M177" s="330" t="s">
        <v>291</v>
      </c>
    </row>
    <row r="178" s="263" customFormat="1" ht="18.75" customHeight="1" spans="1:13">
      <c r="A178" s="306" t="s">
        <v>298</v>
      </c>
      <c r="B178" s="307" t="s">
        <v>298</v>
      </c>
      <c r="C178" s="308" t="s">
        <v>479</v>
      </c>
      <c r="D178" s="309">
        <f t="shared" si="126"/>
        <v>0.7136</v>
      </c>
      <c r="E178" s="310">
        <f t="shared" si="127"/>
        <v>0.7136</v>
      </c>
      <c r="F178" s="311">
        <v>0</v>
      </c>
      <c r="G178" s="309">
        <v>0.7136</v>
      </c>
      <c r="H178" s="310">
        <v>0</v>
      </c>
      <c r="I178" s="329">
        <f t="shared" si="128"/>
        <v>0</v>
      </c>
      <c r="J178" s="309">
        <v>0</v>
      </c>
      <c r="K178" s="310">
        <v>0</v>
      </c>
      <c r="L178" s="311">
        <v>0</v>
      </c>
      <c r="M178" s="330" t="s">
        <v>291</v>
      </c>
    </row>
    <row r="179" s="263" customFormat="1" ht="18.75" customHeight="1" spans="1:13">
      <c r="A179" s="306" t="s">
        <v>298</v>
      </c>
      <c r="B179" s="307" t="s">
        <v>298</v>
      </c>
      <c r="C179" s="308" t="s">
        <v>359</v>
      </c>
      <c r="D179" s="309">
        <f t="shared" si="126"/>
        <v>0.9772</v>
      </c>
      <c r="E179" s="310">
        <f t="shared" si="127"/>
        <v>0.9772</v>
      </c>
      <c r="F179" s="311">
        <v>0</v>
      </c>
      <c r="G179" s="309">
        <v>0.9772</v>
      </c>
      <c r="H179" s="310">
        <v>0</v>
      </c>
      <c r="I179" s="329">
        <f t="shared" si="128"/>
        <v>0</v>
      </c>
      <c r="J179" s="309">
        <v>0</v>
      </c>
      <c r="K179" s="310">
        <v>0</v>
      </c>
      <c r="L179" s="311">
        <v>0</v>
      </c>
      <c r="M179" s="330" t="s">
        <v>291</v>
      </c>
    </row>
    <row r="180" s="263" customFormat="1" ht="18.75" customHeight="1" spans="1:13">
      <c r="A180" s="306" t="s">
        <v>298</v>
      </c>
      <c r="B180" s="307" t="s">
        <v>298</v>
      </c>
      <c r="C180" s="308" t="s">
        <v>361</v>
      </c>
      <c r="D180" s="309">
        <f t="shared" si="126"/>
        <v>0.5617</v>
      </c>
      <c r="E180" s="310">
        <f t="shared" si="127"/>
        <v>0.5617</v>
      </c>
      <c r="F180" s="311">
        <v>0</v>
      </c>
      <c r="G180" s="309">
        <v>0.5617</v>
      </c>
      <c r="H180" s="310">
        <v>0</v>
      </c>
      <c r="I180" s="329">
        <f t="shared" si="128"/>
        <v>0</v>
      </c>
      <c r="J180" s="309">
        <v>0</v>
      </c>
      <c r="K180" s="310">
        <v>0</v>
      </c>
      <c r="L180" s="311">
        <v>0</v>
      </c>
      <c r="M180" s="330" t="s">
        <v>291</v>
      </c>
    </row>
    <row r="181" s="263" customFormat="1" ht="18.75" customHeight="1" spans="1:13">
      <c r="A181" s="306" t="s">
        <v>298</v>
      </c>
      <c r="B181" s="307" t="s">
        <v>298</v>
      </c>
      <c r="C181" s="308" t="s">
        <v>363</v>
      </c>
      <c r="D181" s="309">
        <f t="shared" si="126"/>
        <v>1.3189</v>
      </c>
      <c r="E181" s="310">
        <f t="shared" si="127"/>
        <v>1.3189</v>
      </c>
      <c r="F181" s="311">
        <v>0</v>
      </c>
      <c r="G181" s="309">
        <v>1.3189</v>
      </c>
      <c r="H181" s="310">
        <v>0</v>
      </c>
      <c r="I181" s="329">
        <f t="shared" si="128"/>
        <v>0</v>
      </c>
      <c r="J181" s="309">
        <v>0</v>
      </c>
      <c r="K181" s="310">
        <v>0</v>
      </c>
      <c r="L181" s="311">
        <v>0</v>
      </c>
      <c r="M181" s="330" t="s">
        <v>291</v>
      </c>
    </row>
    <row r="182" s="263" customFormat="1" ht="18.75" customHeight="1" spans="1:13">
      <c r="A182" s="306" t="s">
        <v>298</v>
      </c>
      <c r="B182" s="307" t="s">
        <v>298</v>
      </c>
      <c r="C182" s="308" t="s">
        <v>536</v>
      </c>
      <c r="D182" s="309">
        <f t="shared" si="126"/>
        <v>14.383</v>
      </c>
      <c r="E182" s="310">
        <f t="shared" si="127"/>
        <v>14.383</v>
      </c>
      <c r="F182" s="311">
        <v>0</v>
      </c>
      <c r="G182" s="309">
        <v>14.383</v>
      </c>
      <c r="H182" s="310">
        <v>0</v>
      </c>
      <c r="I182" s="329">
        <f t="shared" si="128"/>
        <v>0</v>
      </c>
      <c r="J182" s="309">
        <v>0</v>
      </c>
      <c r="K182" s="310">
        <v>0</v>
      </c>
      <c r="L182" s="311">
        <v>0</v>
      </c>
      <c r="M182" s="330" t="s">
        <v>291</v>
      </c>
    </row>
    <row r="183" s="263" customFormat="1" ht="18.75" customHeight="1" spans="1:13">
      <c r="A183" s="306" t="s">
        <v>298</v>
      </c>
      <c r="B183" s="307" t="s">
        <v>298</v>
      </c>
      <c r="C183" s="308" t="s">
        <v>537</v>
      </c>
      <c r="D183" s="309">
        <f t="shared" si="126"/>
        <v>3.5613</v>
      </c>
      <c r="E183" s="310">
        <f t="shared" si="127"/>
        <v>3.5613</v>
      </c>
      <c r="F183" s="311">
        <v>0</v>
      </c>
      <c r="G183" s="309">
        <v>3.5613</v>
      </c>
      <c r="H183" s="310">
        <v>0</v>
      </c>
      <c r="I183" s="329">
        <f t="shared" si="128"/>
        <v>0</v>
      </c>
      <c r="J183" s="309">
        <v>0</v>
      </c>
      <c r="K183" s="310">
        <v>0</v>
      </c>
      <c r="L183" s="311">
        <v>0</v>
      </c>
      <c r="M183" s="330" t="s">
        <v>291</v>
      </c>
    </row>
    <row r="184" s="263" customFormat="1" ht="18.75" customHeight="1" spans="1:13">
      <c r="A184" s="306" t="s">
        <v>298</v>
      </c>
      <c r="B184" s="307" t="s">
        <v>298</v>
      </c>
      <c r="C184" s="308" t="s">
        <v>364</v>
      </c>
      <c r="D184" s="309">
        <f t="shared" si="126"/>
        <v>0.694</v>
      </c>
      <c r="E184" s="310">
        <f t="shared" si="127"/>
        <v>0.694</v>
      </c>
      <c r="F184" s="311">
        <v>0</v>
      </c>
      <c r="G184" s="309">
        <v>0.694</v>
      </c>
      <c r="H184" s="310">
        <v>0</v>
      </c>
      <c r="I184" s="329">
        <f t="shared" si="128"/>
        <v>0</v>
      </c>
      <c r="J184" s="309">
        <v>0</v>
      </c>
      <c r="K184" s="310">
        <v>0</v>
      </c>
      <c r="L184" s="311">
        <v>0</v>
      </c>
      <c r="M184" s="330" t="s">
        <v>291</v>
      </c>
    </row>
    <row r="185" s="263" customFormat="1" ht="18.75" customHeight="1" spans="1:13">
      <c r="A185" s="306" t="s">
        <v>298</v>
      </c>
      <c r="B185" s="307" t="s">
        <v>298</v>
      </c>
      <c r="C185" s="308" t="s">
        <v>538</v>
      </c>
      <c r="D185" s="309">
        <f t="shared" si="126"/>
        <v>0.3219</v>
      </c>
      <c r="E185" s="310">
        <f t="shared" si="127"/>
        <v>0.3219</v>
      </c>
      <c r="F185" s="311">
        <v>0</v>
      </c>
      <c r="G185" s="309">
        <v>0.3219</v>
      </c>
      <c r="H185" s="310">
        <v>0</v>
      </c>
      <c r="I185" s="329">
        <f t="shared" si="128"/>
        <v>0</v>
      </c>
      <c r="J185" s="309">
        <v>0</v>
      </c>
      <c r="K185" s="310">
        <v>0</v>
      </c>
      <c r="L185" s="311">
        <v>0</v>
      </c>
      <c r="M185" s="330" t="s">
        <v>291</v>
      </c>
    </row>
    <row r="186" s="263" customFormat="1" ht="18.75" customHeight="1" spans="1:13">
      <c r="A186" s="306" t="s">
        <v>298</v>
      </c>
      <c r="B186" s="307" t="s">
        <v>298</v>
      </c>
      <c r="C186" s="308" t="s">
        <v>539</v>
      </c>
      <c r="D186" s="309">
        <f t="shared" si="126"/>
        <v>505.7424</v>
      </c>
      <c r="E186" s="310">
        <f t="shared" si="127"/>
        <v>505.7424</v>
      </c>
      <c r="F186" s="311">
        <v>0</v>
      </c>
      <c r="G186" s="309">
        <v>505.7424</v>
      </c>
      <c r="H186" s="310">
        <v>0</v>
      </c>
      <c r="I186" s="329">
        <f t="shared" si="128"/>
        <v>0</v>
      </c>
      <c r="J186" s="309">
        <v>0</v>
      </c>
      <c r="K186" s="310">
        <v>0</v>
      </c>
      <c r="L186" s="311">
        <v>0</v>
      </c>
      <c r="M186" s="330" t="s">
        <v>291</v>
      </c>
    </row>
    <row r="187" s="263" customFormat="1" ht="18.75" customHeight="1" spans="1:13">
      <c r="A187" s="306" t="s">
        <v>298</v>
      </c>
      <c r="B187" s="307" t="s">
        <v>298</v>
      </c>
      <c r="C187" s="308" t="s">
        <v>540</v>
      </c>
      <c r="D187" s="309">
        <f t="shared" si="126"/>
        <v>7.5462</v>
      </c>
      <c r="E187" s="310">
        <f t="shared" si="127"/>
        <v>7.5462</v>
      </c>
      <c r="F187" s="311">
        <v>0</v>
      </c>
      <c r="G187" s="309">
        <v>7.5462</v>
      </c>
      <c r="H187" s="310">
        <v>0</v>
      </c>
      <c r="I187" s="329">
        <f t="shared" si="128"/>
        <v>0</v>
      </c>
      <c r="J187" s="309">
        <v>0</v>
      </c>
      <c r="K187" s="310">
        <v>0</v>
      </c>
      <c r="L187" s="311">
        <v>0</v>
      </c>
      <c r="M187" s="330" t="s">
        <v>291</v>
      </c>
    </row>
    <row r="188" s="263" customFormat="1" ht="18.75" customHeight="1" spans="1:13">
      <c r="A188" s="306" t="s">
        <v>298</v>
      </c>
      <c r="B188" s="307" t="s">
        <v>298</v>
      </c>
      <c r="C188" s="308" t="s">
        <v>541</v>
      </c>
      <c r="D188" s="309">
        <f t="shared" si="126"/>
        <v>0.9004</v>
      </c>
      <c r="E188" s="310">
        <f t="shared" si="127"/>
        <v>0.9004</v>
      </c>
      <c r="F188" s="311">
        <v>0</v>
      </c>
      <c r="G188" s="309">
        <v>0.9004</v>
      </c>
      <c r="H188" s="310">
        <v>0</v>
      </c>
      <c r="I188" s="329">
        <f t="shared" si="128"/>
        <v>0</v>
      </c>
      <c r="J188" s="309">
        <v>0</v>
      </c>
      <c r="K188" s="310">
        <v>0</v>
      </c>
      <c r="L188" s="311">
        <v>0</v>
      </c>
      <c r="M188" s="330" t="s">
        <v>291</v>
      </c>
    </row>
    <row r="189" s="263" customFormat="1" ht="18.75" customHeight="1" spans="1:13">
      <c r="A189" s="306" t="s">
        <v>298</v>
      </c>
      <c r="B189" s="307" t="s">
        <v>298</v>
      </c>
      <c r="C189" s="308" t="s">
        <v>542</v>
      </c>
      <c r="D189" s="309">
        <f t="shared" si="126"/>
        <v>2.2853</v>
      </c>
      <c r="E189" s="310">
        <f t="shared" si="127"/>
        <v>2.2853</v>
      </c>
      <c r="F189" s="311">
        <v>0</v>
      </c>
      <c r="G189" s="309">
        <v>2.2853</v>
      </c>
      <c r="H189" s="310">
        <v>0</v>
      </c>
      <c r="I189" s="329">
        <f t="shared" si="128"/>
        <v>0</v>
      </c>
      <c r="J189" s="309">
        <v>0</v>
      </c>
      <c r="K189" s="310">
        <v>0</v>
      </c>
      <c r="L189" s="311">
        <v>0</v>
      </c>
      <c r="M189" s="330" t="s">
        <v>291</v>
      </c>
    </row>
    <row r="190" s="263" customFormat="1" ht="18.75" customHeight="1" spans="1:13">
      <c r="A190" s="306" t="s">
        <v>298</v>
      </c>
      <c r="B190" s="307" t="s">
        <v>298</v>
      </c>
      <c r="C190" s="308" t="s">
        <v>543</v>
      </c>
      <c r="D190" s="309">
        <f t="shared" si="126"/>
        <v>1.543</v>
      </c>
      <c r="E190" s="310">
        <f t="shared" si="127"/>
        <v>1.543</v>
      </c>
      <c r="F190" s="311">
        <v>0</v>
      </c>
      <c r="G190" s="309">
        <v>1.543</v>
      </c>
      <c r="H190" s="310">
        <v>0</v>
      </c>
      <c r="I190" s="329">
        <f t="shared" si="128"/>
        <v>0</v>
      </c>
      <c r="J190" s="309">
        <v>0</v>
      </c>
      <c r="K190" s="310">
        <v>0</v>
      </c>
      <c r="L190" s="311">
        <v>0</v>
      </c>
      <c r="M190" s="330" t="s">
        <v>291</v>
      </c>
    </row>
    <row r="191" s="263" customFormat="1" ht="18.75" customHeight="1" spans="1:13">
      <c r="A191" s="306" t="s">
        <v>298</v>
      </c>
      <c r="B191" s="307" t="s">
        <v>298</v>
      </c>
      <c r="C191" s="308" t="s">
        <v>501</v>
      </c>
      <c r="D191" s="309">
        <f t="shared" si="126"/>
        <v>0.758</v>
      </c>
      <c r="E191" s="310">
        <f t="shared" si="127"/>
        <v>0.758</v>
      </c>
      <c r="F191" s="311">
        <v>0</v>
      </c>
      <c r="G191" s="309">
        <v>0.758</v>
      </c>
      <c r="H191" s="310">
        <v>0</v>
      </c>
      <c r="I191" s="329">
        <f t="shared" si="128"/>
        <v>0</v>
      </c>
      <c r="J191" s="309">
        <v>0</v>
      </c>
      <c r="K191" s="310">
        <v>0</v>
      </c>
      <c r="L191" s="311">
        <v>0</v>
      </c>
      <c r="M191" s="330" t="s">
        <v>291</v>
      </c>
    </row>
    <row r="192" s="263" customFormat="1" ht="22" customHeight="1" spans="1:13">
      <c r="A192" s="306" t="s">
        <v>298</v>
      </c>
      <c r="B192" s="307" t="s">
        <v>298</v>
      </c>
      <c r="C192" s="312" t="s">
        <v>483</v>
      </c>
      <c r="D192" s="309">
        <f t="shared" si="126"/>
        <v>0.4406</v>
      </c>
      <c r="E192" s="310">
        <f t="shared" si="127"/>
        <v>0.4406</v>
      </c>
      <c r="F192" s="311">
        <v>0</v>
      </c>
      <c r="G192" s="309">
        <v>0.4406</v>
      </c>
      <c r="H192" s="310">
        <v>0</v>
      </c>
      <c r="I192" s="329">
        <f t="shared" si="128"/>
        <v>0</v>
      </c>
      <c r="J192" s="309">
        <v>0</v>
      </c>
      <c r="K192" s="310">
        <v>0</v>
      </c>
      <c r="L192" s="311">
        <v>0</v>
      </c>
      <c r="M192" s="330" t="s">
        <v>291</v>
      </c>
    </row>
    <row r="193" s="263" customFormat="1" ht="18.75" customHeight="1" spans="1:13">
      <c r="A193" s="306" t="s">
        <v>298</v>
      </c>
      <c r="B193" s="307" t="s">
        <v>298</v>
      </c>
      <c r="C193" s="308" t="s">
        <v>544</v>
      </c>
      <c r="D193" s="309">
        <f t="shared" si="126"/>
        <v>0.4949</v>
      </c>
      <c r="E193" s="310">
        <f t="shared" si="127"/>
        <v>0.4949</v>
      </c>
      <c r="F193" s="311">
        <v>0</v>
      </c>
      <c r="G193" s="309">
        <v>0.4949</v>
      </c>
      <c r="H193" s="310">
        <v>0</v>
      </c>
      <c r="I193" s="329">
        <f t="shared" si="128"/>
        <v>0</v>
      </c>
      <c r="J193" s="309">
        <v>0</v>
      </c>
      <c r="K193" s="310">
        <v>0</v>
      </c>
      <c r="L193" s="311">
        <v>0</v>
      </c>
      <c r="M193" s="330" t="s">
        <v>291</v>
      </c>
    </row>
    <row r="194" s="263" customFormat="1" ht="18.75" customHeight="1" spans="1:13">
      <c r="A194" s="306" t="s">
        <v>298</v>
      </c>
      <c r="B194" s="307" t="s">
        <v>298</v>
      </c>
      <c r="C194" s="308" t="s">
        <v>521</v>
      </c>
      <c r="D194" s="309">
        <f t="shared" si="126"/>
        <v>0.4371</v>
      </c>
      <c r="E194" s="310">
        <f t="shared" si="127"/>
        <v>0.4371</v>
      </c>
      <c r="F194" s="311">
        <v>0</v>
      </c>
      <c r="G194" s="309">
        <v>0.4371</v>
      </c>
      <c r="H194" s="310">
        <v>0</v>
      </c>
      <c r="I194" s="329">
        <f t="shared" si="128"/>
        <v>0</v>
      </c>
      <c r="J194" s="309">
        <v>0</v>
      </c>
      <c r="K194" s="310">
        <v>0</v>
      </c>
      <c r="L194" s="311">
        <v>0</v>
      </c>
      <c r="M194" s="330" t="s">
        <v>291</v>
      </c>
    </row>
    <row r="195" s="263" customFormat="1" ht="18.75" customHeight="1" spans="1:13">
      <c r="A195" s="306" t="s">
        <v>298</v>
      </c>
      <c r="B195" s="307" t="s">
        <v>298</v>
      </c>
      <c r="C195" s="308" t="s">
        <v>523</v>
      </c>
      <c r="D195" s="309">
        <f t="shared" si="126"/>
        <v>0.6309</v>
      </c>
      <c r="E195" s="310">
        <f t="shared" si="127"/>
        <v>0.6309</v>
      </c>
      <c r="F195" s="311">
        <v>0</v>
      </c>
      <c r="G195" s="309">
        <v>0.6309</v>
      </c>
      <c r="H195" s="310">
        <v>0</v>
      </c>
      <c r="I195" s="329">
        <f t="shared" si="128"/>
        <v>0</v>
      </c>
      <c r="J195" s="309">
        <v>0</v>
      </c>
      <c r="K195" s="310">
        <v>0</v>
      </c>
      <c r="L195" s="311">
        <v>0</v>
      </c>
      <c r="M195" s="330" t="s">
        <v>291</v>
      </c>
    </row>
    <row r="196" s="263" customFormat="1" ht="18.75" customHeight="1" spans="1:13">
      <c r="A196" s="306" t="s">
        <v>298</v>
      </c>
      <c r="B196" s="307" t="s">
        <v>298</v>
      </c>
      <c r="C196" s="308" t="s">
        <v>545</v>
      </c>
      <c r="D196" s="309">
        <f t="shared" si="126"/>
        <v>1.9709</v>
      </c>
      <c r="E196" s="310">
        <f t="shared" si="127"/>
        <v>1.9709</v>
      </c>
      <c r="F196" s="311">
        <v>0</v>
      </c>
      <c r="G196" s="309">
        <v>1.9709</v>
      </c>
      <c r="H196" s="310">
        <v>0</v>
      </c>
      <c r="I196" s="329">
        <f t="shared" si="128"/>
        <v>0</v>
      </c>
      <c r="J196" s="309">
        <v>0</v>
      </c>
      <c r="K196" s="310">
        <v>0</v>
      </c>
      <c r="L196" s="311">
        <v>0</v>
      </c>
      <c r="M196" s="330" t="s">
        <v>291</v>
      </c>
    </row>
    <row r="197" s="263" customFormat="1" ht="18.75" customHeight="1" spans="1:13">
      <c r="A197" s="306" t="s">
        <v>298</v>
      </c>
      <c r="B197" s="307" t="s">
        <v>298</v>
      </c>
      <c r="C197" s="308" t="s">
        <v>387</v>
      </c>
      <c r="D197" s="309">
        <f t="shared" si="126"/>
        <v>5.4426</v>
      </c>
      <c r="E197" s="310">
        <f t="shared" si="127"/>
        <v>5.4426</v>
      </c>
      <c r="F197" s="311">
        <v>0</v>
      </c>
      <c r="G197" s="309">
        <v>5.4426</v>
      </c>
      <c r="H197" s="310">
        <v>0</v>
      </c>
      <c r="I197" s="329">
        <f t="shared" si="128"/>
        <v>0</v>
      </c>
      <c r="J197" s="309">
        <v>0</v>
      </c>
      <c r="K197" s="310">
        <v>0</v>
      </c>
      <c r="L197" s="311">
        <v>0</v>
      </c>
      <c r="M197" s="330" t="s">
        <v>291</v>
      </c>
    </row>
    <row r="198" s="263" customFormat="1" ht="18.75" customHeight="1" spans="1:13">
      <c r="A198" s="306" t="s">
        <v>298</v>
      </c>
      <c r="B198" s="307" t="s">
        <v>298</v>
      </c>
      <c r="C198" s="308" t="s">
        <v>546</v>
      </c>
      <c r="D198" s="309">
        <f t="shared" si="126"/>
        <v>3.0649</v>
      </c>
      <c r="E198" s="310">
        <f t="shared" si="127"/>
        <v>3.0649</v>
      </c>
      <c r="F198" s="311">
        <v>0</v>
      </c>
      <c r="G198" s="309">
        <v>3.0649</v>
      </c>
      <c r="H198" s="310">
        <v>0</v>
      </c>
      <c r="I198" s="329">
        <f t="shared" si="128"/>
        <v>0</v>
      </c>
      <c r="J198" s="309">
        <v>0</v>
      </c>
      <c r="K198" s="310">
        <v>0</v>
      </c>
      <c r="L198" s="311">
        <v>0</v>
      </c>
      <c r="M198" s="330" t="s">
        <v>291</v>
      </c>
    </row>
    <row r="199" s="263" customFormat="1" ht="18.75" customHeight="1" spans="1:13">
      <c r="A199" s="306" t="s">
        <v>298</v>
      </c>
      <c r="B199" s="307" t="s">
        <v>298</v>
      </c>
      <c r="C199" s="308" t="s">
        <v>547</v>
      </c>
      <c r="D199" s="309">
        <f t="shared" si="126"/>
        <v>0.7803</v>
      </c>
      <c r="E199" s="310">
        <f t="shared" si="127"/>
        <v>0.7803</v>
      </c>
      <c r="F199" s="311">
        <v>0</v>
      </c>
      <c r="G199" s="309">
        <v>0.7803</v>
      </c>
      <c r="H199" s="310">
        <v>0</v>
      </c>
      <c r="I199" s="329">
        <f t="shared" si="128"/>
        <v>0</v>
      </c>
      <c r="J199" s="309">
        <v>0</v>
      </c>
      <c r="K199" s="310">
        <v>0</v>
      </c>
      <c r="L199" s="311">
        <v>0</v>
      </c>
      <c r="M199" s="330" t="s">
        <v>291</v>
      </c>
    </row>
    <row r="200" s="263" customFormat="1" ht="22" customHeight="1" spans="1:13">
      <c r="A200" s="306" t="s">
        <v>298</v>
      </c>
      <c r="B200" s="307" t="s">
        <v>298</v>
      </c>
      <c r="C200" s="312" t="s">
        <v>548</v>
      </c>
      <c r="D200" s="309">
        <f t="shared" si="126"/>
        <v>3.8199</v>
      </c>
      <c r="E200" s="310">
        <f t="shared" si="127"/>
        <v>3.8199</v>
      </c>
      <c r="F200" s="311">
        <v>0</v>
      </c>
      <c r="G200" s="309">
        <v>3.8199</v>
      </c>
      <c r="H200" s="310">
        <v>0</v>
      </c>
      <c r="I200" s="329">
        <f t="shared" si="128"/>
        <v>0</v>
      </c>
      <c r="J200" s="309">
        <v>0</v>
      </c>
      <c r="K200" s="310">
        <v>0</v>
      </c>
      <c r="L200" s="311">
        <v>0</v>
      </c>
      <c r="M200" s="330" t="s">
        <v>291</v>
      </c>
    </row>
    <row r="201" s="263" customFormat="1" ht="18.75" customHeight="1" spans="1:13">
      <c r="A201" s="306" t="s">
        <v>298</v>
      </c>
      <c r="B201" s="307" t="s">
        <v>298</v>
      </c>
      <c r="C201" s="308" t="s">
        <v>549</v>
      </c>
      <c r="D201" s="309">
        <f t="shared" si="126"/>
        <v>4.2092</v>
      </c>
      <c r="E201" s="310">
        <f t="shared" si="127"/>
        <v>4.2092</v>
      </c>
      <c r="F201" s="311">
        <v>0</v>
      </c>
      <c r="G201" s="309">
        <v>4.2092</v>
      </c>
      <c r="H201" s="310">
        <v>0</v>
      </c>
      <c r="I201" s="329">
        <f t="shared" si="128"/>
        <v>0</v>
      </c>
      <c r="J201" s="309">
        <v>0</v>
      </c>
      <c r="K201" s="310">
        <v>0</v>
      </c>
      <c r="L201" s="311">
        <v>0</v>
      </c>
      <c r="M201" s="330" t="s">
        <v>291</v>
      </c>
    </row>
    <row r="202" s="263" customFormat="1" ht="18.75" customHeight="1" spans="1:13">
      <c r="A202" s="306" t="s">
        <v>298</v>
      </c>
      <c r="B202" s="307" t="s">
        <v>298</v>
      </c>
      <c r="C202" s="308" t="s">
        <v>550</v>
      </c>
      <c r="D202" s="309">
        <f t="shared" si="126"/>
        <v>7.3142</v>
      </c>
      <c r="E202" s="310">
        <f t="shared" si="127"/>
        <v>7.3142</v>
      </c>
      <c r="F202" s="311">
        <v>0</v>
      </c>
      <c r="G202" s="309">
        <v>7.3142</v>
      </c>
      <c r="H202" s="310">
        <v>0</v>
      </c>
      <c r="I202" s="329">
        <f t="shared" si="128"/>
        <v>0</v>
      </c>
      <c r="J202" s="309">
        <v>0</v>
      </c>
      <c r="K202" s="310">
        <v>0</v>
      </c>
      <c r="L202" s="311">
        <v>0</v>
      </c>
      <c r="M202" s="330" t="s">
        <v>291</v>
      </c>
    </row>
    <row r="203" s="263" customFormat="1" ht="18.75" customHeight="1" spans="1:13">
      <c r="A203" s="306" t="s">
        <v>298</v>
      </c>
      <c r="B203" s="307" t="s">
        <v>298</v>
      </c>
      <c r="C203" s="308" t="s">
        <v>551</v>
      </c>
      <c r="D203" s="309">
        <f t="shared" si="126"/>
        <v>0.5683</v>
      </c>
      <c r="E203" s="310">
        <f t="shared" si="127"/>
        <v>0.5683</v>
      </c>
      <c r="F203" s="311">
        <v>0</v>
      </c>
      <c r="G203" s="309">
        <v>0.5683</v>
      </c>
      <c r="H203" s="310">
        <v>0</v>
      </c>
      <c r="I203" s="329">
        <f t="shared" si="128"/>
        <v>0</v>
      </c>
      <c r="J203" s="309">
        <v>0</v>
      </c>
      <c r="K203" s="310">
        <v>0</v>
      </c>
      <c r="L203" s="311">
        <v>0</v>
      </c>
      <c r="M203" s="330" t="s">
        <v>291</v>
      </c>
    </row>
    <row r="204" s="263" customFormat="1" ht="18.75" customHeight="1" spans="1:13">
      <c r="A204" s="306" t="s">
        <v>298</v>
      </c>
      <c r="B204" s="307" t="s">
        <v>298</v>
      </c>
      <c r="C204" s="308" t="s">
        <v>552</v>
      </c>
      <c r="D204" s="309">
        <f t="shared" si="126"/>
        <v>4.1801</v>
      </c>
      <c r="E204" s="310">
        <f t="shared" si="127"/>
        <v>4.1801</v>
      </c>
      <c r="F204" s="311">
        <v>0</v>
      </c>
      <c r="G204" s="309">
        <v>4.1801</v>
      </c>
      <c r="H204" s="310">
        <v>0</v>
      </c>
      <c r="I204" s="329">
        <f t="shared" si="128"/>
        <v>0</v>
      </c>
      <c r="J204" s="309">
        <v>0</v>
      </c>
      <c r="K204" s="310">
        <v>0</v>
      </c>
      <c r="L204" s="311">
        <v>0</v>
      </c>
      <c r="M204" s="330" t="s">
        <v>291</v>
      </c>
    </row>
    <row r="205" s="263" customFormat="1" ht="18.75" customHeight="1" spans="1:13">
      <c r="A205" s="306" t="s">
        <v>298</v>
      </c>
      <c r="B205" s="307" t="s">
        <v>298</v>
      </c>
      <c r="C205" s="308" t="s">
        <v>553</v>
      </c>
      <c r="D205" s="309">
        <f t="shared" si="126"/>
        <v>3.7104</v>
      </c>
      <c r="E205" s="310">
        <f t="shared" si="127"/>
        <v>3.7104</v>
      </c>
      <c r="F205" s="311">
        <v>0</v>
      </c>
      <c r="G205" s="309">
        <v>3.7104</v>
      </c>
      <c r="H205" s="310">
        <v>0</v>
      </c>
      <c r="I205" s="329">
        <f t="shared" si="128"/>
        <v>0</v>
      </c>
      <c r="J205" s="309">
        <v>0</v>
      </c>
      <c r="K205" s="310">
        <v>0</v>
      </c>
      <c r="L205" s="311">
        <v>0</v>
      </c>
      <c r="M205" s="330" t="s">
        <v>291</v>
      </c>
    </row>
    <row r="206" s="263" customFormat="1" ht="18.75" customHeight="1" spans="1:13">
      <c r="A206" s="306" t="s">
        <v>298</v>
      </c>
      <c r="B206" s="307" t="s">
        <v>298</v>
      </c>
      <c r="C206" s="308" t="s">
        <v>554</v>
      </c>
      <c r="D206" s="309">
        <f t="shared" si="126"/>
        <v>3.4382</v>
      </c>
      <c r="E206" s="310">
        <f t="shared" si="127"/>
        <v>3.4382</v>
      </c>
      <c r="F206" s="311">
        <v>0</v>
      </c>
      <c r="G206" s="309">
        <v>3.4382</v>
      </c>
      <c r="H206" s="310">
        <v>0</v>
      </c>
      <c r="I206" s="329">
        <f t="shared" si="128"/>
        <v>0</v>
      </c>
      <c r="J206" s="309">
        <v>0</v>
      </c>
      <c r="K206" s="310">
        <v>0</v>
      </c>
      <c r="L206" s="311">
        <v>0</v>
      </c>
      <c r="M206" s="330" t="s">
        <v>291</v>
      </c>
    </row>
    <row r="207" s="263" customFormat="1" ht="18.75" customHeight="1" spans="1:13">
      <c r="A207" s="306" t="s">
        <v>298</v>
      </c>
      <c r="B207" s="307" t="s">
        <v>298</v>
      </c>
      <c r="C207" s="308" t="s">
        <v>555</v>
      </c>
      <c r="D207" s="309">
        <f t="shared" si="126"/>
        <v>79.2923</v>
      </c>
      <c r="E207" s="310">
        <f t="shared" si="127"/>
        <v>79.2923</v>
      </c>
      <c r="F207" s="311">
        <v>0</v>
      </c>
      <c r="G207" s="309">
        <v>79.2923</v>
      </c>
      <c r="H207" s="310">
        <v>0</v>
      </c>
      <c r="I207" s="329">
        <f t="shared" si="128"/>
        <v>0</v>
      </c>
      <c r="J207" s="309">
        <v>0</v>
      </c>
      <c r="K207" s="310">
        <v>0</v>
      </c>
      <c r="L207" s="311">
        <v>0</v>
      </c>
      <c r="M207" s="330" t="s">
        <v>291</v>
      </c>
    </row>
    <row r="208" s="263" customFormat="1" ht="18.75" customHeight="1" spans="1:13">
      <c r="A208" s="306" t="s">
        <v>298</v>
      </c>
      <c r="B208" s="307" t="s">
        <v>298</v>
      </c>
      <c r="C208" s="308" t="s">
        <v>556</v>
      </c>
      <c r="D208" s="309">
        <f t="shared" si="126"/>
        <v>7.2811</v>
      </c>
      <c r="E208" s="310">
        <f t="shared" si="127"/>
        <v>7.2811</v>
      </c>
      <c r="F208" s="311">
        <v>0</v>
      </c>
      <c r="G208" s="309">
        <v>7.2811</v>
      </c>
      <c r="H208" s="310">
        <v>0</v>
      </c>
      <c r="I208" s="329">
        <f t="shared" si="128"/>
        <v>0</v>
      </c>
      <c r="J208" s="309">
        <v>0</v>
      </c>
      <c r="K208" s="310">
        <v>0</v>
      </c>
      <c r="L208" s="311">
        <v>0</v>
      </c>
      <c r="M208" s="330" t="s">
        <v>291</v>
      </c>
    </row>
    <row r="209" s="263" customFormat="1" ht="18.75" customHeight="1" spans="1:13">
      <c r="A209" s="306" t="s">
        <v>298</v>
      </c>
      <c r="B209" s="307" t="s">
        <v>298</v>
      </c>
      <c r="C209" s="308" t="s">
        <v>557</v>
      </c>
      <c r="D209" s="309">
        <f t="shared" si="126"/>
        <v>1.2911</v>
      </c>
      <c r="E209" s="310">
        <f t="shared" si="127"/>
        <v>1.2911</v>
      </c>
      <c r="F209" s="311">
        <v>0</v>
      </c>
      <c r="G209" s="309">
        <v>1.2911</v>
      </c>
      <c r="H209" s="310">
        <v>0</v>
      </c>
      <c r="I209" s="329">
        <f t="shared" si="128"/>
        <v>0</v>
      </c>
      <c r="J209" s="309">
        <v>0</v>
      </c>
      <c r="K209" s="310">
        <v>0</v>
      </c>
      <c r="L209" s="311">
        <v>0</v>
      </c>
      <c r="M209" s="330" t="s">
        <v>291</v>
      </c>
    </row>
    <row r="210" s="263" customFormat="1" ht="18.75" customHeight="1" spans="1:13">
      <c r="A210" s="306" t="s">
        <v>298</v>
      </c>
      <c r="B210" s="307" t="s">
        <v>298</v>
      </c>
      <c r="C210" s="308" t="s">
        <v>558</v>
      </c>
      <c r="D210" s="309">
        <f t="shared" si="126"/>
        <v>1.0936</v>
      </c>
      <c r="E210" s="310">
        <f t="shared" si="127"/>
        <v>1.0936</v>
      </c>
      <c r="F210" s="311">
        <v>0</v>
      </c>
      <c r="G210" s="309">
        <v>1.0936</v>
      </c>
      <c r="H210" s="310">
        <v>0</v>
      </c>
      <c r="I210" s="329">
        <f t="shared" si="128"/>
        <v>0</v>
      </c>
      <c r="J210" s="309">
        <v>0</v>
      </c>
      <c r="K210" s="310">
        <v>0</v>
      </c>
      <c r="L210" s="311">
        <v>0</v>
      </c>
      <c r="M210" s="330" t="s">
        <v>291</v>
      </c>
    </row>
    <row r="211" s="263" customFormat="1" ht="18.75" customHeight="1" spans="1:13">
      <c r="A211" s="306" t="s">
        <v>298</v>
      </c>
      <c r="B211" s="307" t="s">
        <v>298</v>
      </c>
      <c r="C211" s="308" t="s">
        <v>559</v>
      </c>
      <c r="D211" s="309">
        <f t="shared" si="126"/>
        <v>4.7908</v>
      </c>
      <c r="E211" s="310">
        <f t="shared" si="127"/>
        <v>4.7908</v>
      </c>
      <c r="F211" s="311">
        <v>0</v>
      </c>
      <c r="G211" s="309">
        <v>4.7908</v>
      </c>
      <c r="H211" s="310">
        <v>0</v>
      </c>
      <c r="I211" s="329">
        <f t="shared" si="128"/>
        <v>0</v>
      </c>
      <c r="J211" s="309">
        <v>0</v>
      </c>
      <c r="K211" s="310">
        <v>0</v>
      </c>
      <c r="L211" s="311">
        <v>0</v>
      </c>
      <c r="M211" s="330" t="s">
        <v>291</v>
      </c>
    </row>
    <row r="212" s="263" customFormat="1" ht="18.75" customHeight="1" spans="1:13">
      <c r="A212" s="306" t="s">
        <v>298</v>
      </c>
      <c r="B212" s="307" t="s">
        <v>298</v>
      </c>
      <c r="C212" s="308" t="s">
        <v>560</v>
      </c>
      <c r="D212" s="309">
        <f t="shared" si="126"/>
        <v>30.1178</v>
      </c>
      <c r="E212" s="310">
        <f t="shared" si="127"/>
        <v>30.1178</v>
      </c>
      <c r="F212" s="311">
        <v>0</v>
      </c>
      <c r="G212" s="309">
        <v>30.1178</v>
      </c>
      <c r="H212" s="310">
        <v>0</v>
      </c>
      <c r="I212" s="329">
        <f t="shared" si="128"/>
        <v>0</v>
      </c>
      <c r="J212" s="309">
        <v>0</v>
      </c>
      <c r="K212" s="310">
        <v>0</v>
      </c>
      <c r="L212" s="311">
        <v>0</v>
      </c>
      <c r="M212" s="330" t="s">
        <v>291</v>
      </c>
    </row>
    <row r="213" s="263" customFormat="1" ht="18.75" customHeight="1" spans="1:13">
      <c r="A213" s="306" t="s">
        <v>298</v>
      </c>
      <c r="B213" s="307" t="s">
        <v>298</v>
      </c>
      <c r="C213" s="308" t="s">
        <v>561</v>
      </c>
      <c r="D213" s="309">
        <f t="shared" si="126"/>
        <v>17.4413</v>
      </c>
      <c r="E213" s="310">
        <f t="shared" si="127"/>
        <v>17.4413</v>
      </c>
      <c r="F213" s="311">
        <v>0</v>
      </c>
      <c r="G213" s="309">
        <v>17.4413</v>
      </c>
      <c r="H213" s="310">
        <v>0</v>
      </c>
      <c r="I213" s="329">
        <f t="shared" si="128"/>
        <v>0</v>
      </c>
      <c r="J213" s="309">
        <v>0</v>
      </c>
      <c r="K213" s="310">
        <v>0</v>
      </c>
      <c r="L213" s="311">
        <v>0</v>
      </c>
      <c r="M213" s="330" t="s">
        <v>291</v>
      </c>
    </row>
    <row r="214" s="263" customFormat="1" ht="18.75" customHeight="1" spans="1:13">
      <c r="A214" s="306" t="s">
        <v>298</v>
      </c>
      <c r="B214" s="307" t="s">
        <v>298</v>
      </c>
      <c r="C214" s="308" t="s">
        <v>562</v>
      </c>
      <c r="D214" s="309">
        <f t="shared" si="126"/>
        <v>4.415</v>
      </c>
      <c r="E214" s="310">
        <f t="shared" si="127"/>
        <v>4.415</v>
      </c>
      <c r="F214" s="311">
        <v>0</v>
      </c>
      <c r="G214" s="309">
        <v>4.415</v>
      </c>
      <c r="H214" s="310">
        <v>0</v>
      </c>
      <c r="I214" s="329">
        <f t="shared" si="128"/>
        <v>0</v>
      </c>
      <c r="J214" s="309">
        <v>0</v>
      </c>
      <c r="K214" s="310">
        <v>0</v>
      </c>
      <c r="L214" s="311">
        <v>0</v>
      </c>
      <c r="M214" s="330" t="s">
        <v>291</v>
      </c>
    </row>
    <row r="215" s="263" customFormat="1" ht="18.75" customHeight="1" spans="1:13">
      <c r="A215" s="306" t="s">
        <v>298</v>
      </c>
      <c r="B215" s="307" t="s">
        <v>298</v>
      </c>
      <c r="C215" s="308" t="s">
        <v>563</v>
      </c>
      <c r="D215" s="309">
        <f t="shared" si="126"/>
        <v>0.9523</v>
      </c>
      <c r="E215" s="310">
        <f t="shared" si="127"/>
        <v>0.9523</v>
      </c>
      <c r="F215" s="311">
        <v>0</v>
      </c>
      <c r="G215" s="309">
        <v>0.9523</v>
      </c>
      <c r="H215" s="310">
        <v>0</v>
      </c>
      <c r="I215" s="329">
        <f t="shared" si="128"/>
        <v>0</v>
      </c>
      <c r="J215" s="309">
        <v>0</v>
      </c>
      <c r="K215" s="310">
        <v>0</v>
      </c>
      <c r="L215" s="311">
        <v>0</v>
      </c>
      <c r="M215" s="330" t="s">
        <v>291</v>
      </c>
    </row>
    <row r="216" s="263" customFormat="1" ht="18.75" customHeight="1" spans="1:13">
      <c r="A216" s="306" t="s">
        <v>298</v>
      </c>
      <c r="B216" s="307" t="s">
        <v>298</v>
      </c>
      <c r="C216" s="308" t="s">
        <v>564</v>
      </c>
      <c r="D216" s="309">
        <f t="shared" ref="D216:D229" si="129">E216+I216</f>
        <v>0.7959</v>
      </c>
      <c r="E216" s="310">
        <f t="shared" ref="E216:E227" si="130">SUBTOTAL(9,F216:H216)</f>
        <v>0.7959</v>
      </c>
      <c r="F216" s="311">
        <v>0</v>
      </c>
      <c r="G216" s="309">
        <v>0.7959</v>
      </c>
      <c r="H216" s="310">
        <v>0</v>
      </c>
      <c r="I216" s="329">
        <f t="shared" ref="I216:I227" si="131">SUBTOTAL(9,J216:L216)</f>
        <v>0</v>
      </c>
      <c r="J216" s="309">
        <v>0</v>
      </c>
      <c r="K216" s="310">
        <v>0</v>
      </c>
      <c r="L216" s="311">
        <v>0</v>
      </c>
      <c r="M216" s="330" t="s">
        <v>291</v>
      </c>
    </row>
    <row r="217" s="263" customFormat="1" ht="18.75" customHeight="1" spans="1:13">
      <c r="A217" s="306" t="s">
        <v>298</v>
      </c>
      <c r="B217" s="307" t="s">
        <v>298</v>
      </c>
      <c r="C217" s="308" t="s">
        <v>565</v>
      </c>
      <c r="D217" s="309">
        <f t="shared" si="129"/>
        <v>3.4479</v>
      </c>
      <c r="E217" s="310">
        <f t="shared" si="130"/>
        <v>3.4479</v>
      </c>
      <c r="F217" s="311">
        <v>0</v>
      </c>
      <c r="G217" s="309">
        <v>3.4479</v>
      </c>
      <c r="H217" s="310">
        <v>0</v>
      </c>
      <c r="I217" s="329">
        <f t="shared" si="131"/>
        <v>0</v>
      </c>
      <c r="J217" s="309">
        <v>0</v>
      </c>
      <c r="K217" s="310">
        <v>0</v>
      </c>
      <c r="L217" s="311">
        <v>0</v>
      </c>
      <c r="M217" s="330" t="s">
        <v>291</v>
      </c>
    </row>
    <row r="218" s="263" customFormat="1" ht="18.75" customHeight="1" spans="1:13">
      <c r="A218" s="306" t="s">
        <v>298</v>
      </c>
      <c r="B218" s="307" t="s">
        <v>298</v>
      </c>
      <c r="C218" s="308" t="s">
        <v>566</v>
      </c>
      <c r="D218" s="309">
        <f t="shared" si="129"/>
        <v>1.713</v>
      </c>
      <c r="E218" s="310">
        <f t="shared" si="130"/>
        <v>1.713</v>
      </c>
      <c r="F218" s="311">
        <v>0</v>
      </c>
      <c r="G218" s="309">
        <v>1.713</v>
      </c>
      <c r="H218" s="310">
        <v>0</v>
      </c>
      <c r="I218" s="329">
        <f t="shared" si="131"/>
        <v>0</v>
      </c>
      <c r="J218" s="309">
        <v>0</v>
      </c>
      <c r="K218" s="310">
        <v>0</v>
      </c>
      <c r="L218" s="311">
        <v>0</v>
      </c>
      <c r="M218" s="330" t="s">
        <v>291</v>
      </c>
    </row>
    <row r="219" s="263" customFormat="1" ht="18.75" customHeight="1" spans="1:13">
      <c r="A219" s="306" t="s">
        <v>298</v>
      </c>
      <c r="B219" s="307" t="s">
        <v>298</v>
      </c>
      <c r="C219" s="308" t="s">
        <v>567</v>
      </c>
      <c r="D219" s="309">
        <f t="shared" si="129"/>
        <v>0.5787</v>
      </c>
      <c r="E219" s="310">
        <f t="shared" si="130"/>
        <v>0.5787</v>
      </c>
      <c r="F219" s="311">
        <v>0</v>
      </c>
      <c r="G219" s="309">
        <v>0.5787</v>
      </c>
      <c r="H219" s="310">
        <v>0</v>
      </c>
      <c r="I219" s="329">
        <f t="shared" si="131"/>
        <v>0</v>
      </c>
      <c r="J219" s="309">
        <v>0</v>
      </c>
      <c r="K219" s="310">
        <v>0</v>
      </c>
      <c r="L219" s="311">
        <v>0</v>
      </c>
      <c r="M219" s="330" t="s">
        <v>291</v>
      </c>
    </row>
    <row r="220" s="263" customFormat="1" ht="18.75" customHeight="1" spans="1:13">
      <c r="A220" s="306" t="s">
        <v>298</v>
      </c>
      <c r="B220" s="307" t="s">
        <v>298</v>
      </c>
      <c r="C220" s="308" t="s">
        <v>568</v>
      </c>
      <c r="D220" s="309">
        <f t="shared" si="129"/>
        <v>3.2799</v>
      </c>
      <c r="E220" s="310">
        <f t="shared" si="130"/>
        <v>3.2799</v>
      </c>
      <c r="F220" s="311">
        <v>0</v>
      </c>
      <c r="G220" s="309">
        <v>3.2799</v>
      </c>
      <c r="H220" s="310">
        <v>0</v>
      </c>
      <c r="I220" s="329">
        <f t="shared" si="131"/>
        <v>0</v>
      </c>
      <c r="J220" s="309">
        <v>0</v>
      </c>
      <c r="K220" s="310">
        <v>0</v>
      </c>
      <c r="L220" s="311">
        <v>0</v>
      </c>
      <c r="M220" s="330" t="s">
        <v>291</v>
      </c>
    </row>
    <row r="221" s="263" customFormat="1" ht="24" customHeight="1" spans="1:13">
      <c r="A221" s="306" t="s">
        <v>298</v>
      </c>
      <c r="B221" s="307" t="s">
        <v>298</v>
      </c>
      <c r="C221" s="312" t="s">
        <v>569</v>
      </c>
      <c r="D221" s="309">
        <f t="shared" si="129"/>
        <v>1.7071</v>
      </c>
      <c r="E221" s="310">
        <f t="shared" si="130"/>
        <v>1.7071</v>
      </c>
      <c r="F221" s="311">
        <v>0</v>
      </c>
      <c r="G221" s="309">
        <v>1.7071</v>
      </c>
      <c r="H221" s="310">
        <v>0</v>
      </c>
      <c r="I221" s="329">
        <f t="shared" si="131"/>
        <v>0</v>
      </c>
      <c r="J221" s="309">
        <v>0</v>
      </c>
      <c r="K221" s="310">
        <v>0</v>
      </c>
      <c r="L221" s="311">
        <v>0</v>
      </c>
      <c r="M221" s="330" t="s">
        <v>291</v>
      </c>
    </row>
    <row r="222" s="263" customFormat="1" ht="18.75" customHeight="1" spans="1:13">
      <c r="A222" s="306" t="s">
        <v>298</v>
      </c>
      <c r="B222" s="307" t="s">
        <v>298</v>
      </c>
      <c r="C222" s="308" t="s">
        <v>570</v>
      </c>
      <c r="D222" s="309">
        <f t="shared" si="129"/>
        <v>1.1778</v>
      </c>
      <c r="E222" s="310">
        <f t="shared" si="130"/>
        <v>1.1778</v>
      </c>
      <c r="F222" s="311">
        <v>0</v>
      </c>
      <c r="G222" s="309">
        <v>1.1778</v>
      </c>
      <c r="H222" s="310">
        <v>0</v>
      </c>
      <c r="I222" s="329">
        <f t="shared" si="131"/>
        <v>0</v>
      </c>
      <c r="J222" s="309">
        <v>0</v>
      </c>
      <c r="K222" s="310">
        <v>0</v>
      </c>
      <c r="L222" s="311">
        <v>0</v>
      </c>
      <c r="M222" s="330" t="s">
        <v>291</v>
      </c>
    </row>
    <row r="223" s="263" customFormat="1" ht="18.75" customHeight="1" spans="1:13">
      <c r="A223" s="306" t="s">
        <v>298</v>
      </c>
      <c r="B223" s="307" t="s">
        <v>298</v>
      </c>
      <c r="C223" s="308" t="s">
        <v>571</v>
      </c>
      <c r="D223" s="309">
        <f t="shared" si="129"/>
        <v>14.0865</v>
      </c>
      <c r="E223" s="310">
        <f t="shared" si="130"/>
        <v>14.0865</v>
      </c>
      <c r="F223" s="311">
        <v>0</v>
      </c>
      <c r="G223" s="309">
        <v>14.0865</v>
      </c>
      <c r="H223" s="310">
        <v>0</v>
      </c>
      <c r="I223" s="329">
        <f t="shared" si="131"/>
        <v>0</v>
      </c>
      <c r="J223" s="309">
        <v>0</v>
      </c>
      <c r="K223" s="310">
        <v>0</v>
      </c>
      <c r="L223" s="311">
        <v>0</v>
      </c>
      <c r="M223" s="330" t="s">
        <v>291</v>
      </c>
    </row>
    <row r="224" s="263" customFormat="1" ht="18.75" customHeight="1" spans="1:13">
      <c r="A224" s="306" t="s">
        <v>298</v>
      </c>
      <c r="B224" s="307" t="s">
        <v>298</v>
      </c>
      <c r="C224" s="308" t="s">
        <v>464</v>
      </c>
      <c r="D224" s="309">
        <f t="shared" si="129"/>
        <v>3.6101</v>
      </c>
      <c r="E224" s="310">
        <f t="shared" si="130"/>
        <v>3.6101</v>
      </c>
      <c r="F224" s="311">
        <v>0</v>
      </c>
      <c r="G224" s="309">
        <v>3.6101</v>
      </c>
      <c r="H224" s="310">
        <v>0</v>
      </c>
      <c r="I224" s="329">
        <f t="shared" si="131"/>
        <v>0</v>
      </c>
      <c r="J224" s="309">
        <v>0</v>
      </c>
      <c r="K224" s="310">
        <v>0</v>
      </c>
      <c r="L224" s="311">
        <v>0</v>
      </c>
      <c r="M224" s="330" t="s">
        <v>291</v>
      </c>
    </row>
    <row r="225" s="263" customFormat="1" ht="18.75" customHeight="1" spans="1:13">
      <c r="A225" s="306" t="s">
        <v>298</v>
      </c>
      <c r="B225" s="307" t="s">
        <v>298</v>
      </c>
      <c r="C225" s="308" t="s">
        <v>572</v>
      </c>
      <c r="D225" s="309">
        <f t="shared" si="129"/>
        <v>2.8675</v>
      </c>
      <c r="E225" s="310">
        <f t="shared" si="130"/>
        <v>2.8675</v>
      </c>
      <c r="F225" s="311">
        <v>0</v>
      </c>
      <c r="G225" s="309">
        <v>2.8675</v>
      </c>
      <c r="H225" s="310">
        <v>0</v>
      </c>
      <c r="I225" s="329">
        <f t="shared" si="131"/>
        <v>0</v>
      </c>
      <c r="J225" s="309">
        <v>0</v>
      </c>
      <c r="K225" s="310">
        <v>0</v>
      </c>
      <c r="L225" s="311">
        <v>0</v>
      </c>
      <c r="M225" s="330" t="s">
        <v>291</v>
      </c>
    </row>
    <row r="226" s="263" customFormat="1" ht="18.75" customHeight="1" spans="1:13">
      <c r="A226" s="306" t="s">
        <v>298</v>
      </c>
      <c r="B226" s="307" t="s">
        <v>298</v>
      </c>
      <c r="C226" s="308" t="s">
        <v>573</v>
      </c>
      <c r="D226" s="309">
        <f t="shared" si="129"/>
        <v>1.525</v>
      </c>
      <c r="E226" s="310">
        <f t="shared" si="130"/>
        <v>1.525</v>
      </c>
      <c r="F226" s="311">
        <v>0</v>
      </c>
      <c r="G226" s="309">
        <v>1.525</v>
      </c>
      <c r="H226" s="310">
        <v>0</v>
      </c>
      <c r="I226" s="329">
        <f t="shared" si="131"/>
        <v>0</v>
      </c>
      <c r="J226" s="309">
        <v>0</v>
      </c>
      <c r="K226" s="310">
        <v>0</v>
      </c>
      <c r="L226" s="311">
        <v>0</v>
      </c>
      <c r="M226" s="330" t="s">
        <v>291</v>
      </c>
    </row>
    <row r="227" s="263" customFormat="1" ht="18.75" customHeight="1" spans="1:13">
      <c r="A227" s="306" t="s">
        <v>298</v>
      </c>
      <c r="B227" s="307" t="s">
        <v>298</v>
      </c>
      <c r="C227" s="308" t="s">
        <v>574</v>
      </c>
      <c r="D227" s="309">
        <f t="shared" si="129"/>
        <v>0.8599</v>
      </c>
      <c r="E227" s="310">
        <f t="shared" si="130"/>
        <v>0.8599</v>
      </c>
      <c r="F227" s="311">
        <v>0</v>
      </c>
      <c r="G227" s="309">
        <v>0.8599</v>
      </c>
      <c r="H227" s="310">
        <v>0</v>
      </c>
      <c r="I227" s="329">
        <f t="shared" si="131"/>
        <v>0</v>
      </c>
      <c r="J227" s="309">
        <v>0</v>
      </c>
      <c r="K227" s="310">
        <v>0</v>
      </c>
      <c r="L227" s="311">
        <v>0</v>
      </c>
      <c r="M227" s="330" t="s">
        <v>291</v>
      </c>
    </row>
    <row r="228" s="263" customFormat="1" ht="18.75" customHeight="1" spans="1:13">
      <c r="A228" s="306"/>
      <c r="B228" s="307"/>
      <c r="C228" s="308" t="s">
        <v>301</v>
      </c>
      <c r="D228" s="309">
        <f t="shared" si="129"/>
        <v>101.6166</v>
      </c>
      <c r="E228" s="310">
        <f>F228+G228+H228</f>
        <v>101.6166</v>
      </c>
      <c r="F228" s="311"/>
      <c r="G228" s="309">
        <v>101.6166</v>
      </c>
      <c r="H228" s="310"/>
      <c r="I228" s="329"/>
      <c r="J228" s="309"/>
      <c r="K228" s="310"/>
      <c r="L228" s="311"/>
      <c r="M228" s="330"/>
    </row>
    <row r="229" s="263" customFormat="1" ht="18.75" customHeight="1" spans="1:13">
      <c r="A229" s="306" t="s">
        <v>298</v>
      </c>
      <c r="B229" s="307" t="s">
        <v>298</v>
      </c>
      <c r="C229" s="308" t="s">
        <v>575</v>
      </c>
      <c r="D229" s="309">
        <f t="shared" si="129"/>
        <v>2.6183</v>
      </c>
      <c r="E229" s="310">
        <f>SUBTOTAL(9,F229:H229)</f>
        <v>2.6183</v>
      </c>
      <c r="F229" s="311">
        <v>0</v>
      </c>
      <c r="G229" s="309">
        <v>2.6183</v>
      </c>
      <c r="H229" s="310">
        <v>0</v>
      </c>
      <c r="I229" s="329">
        <f>SUBTOTAL(9,J229:L229)</f>
        <v>0</v>
      </c>
      <c r="J229" s="309">
        <v>0</v>
      </c>
      <c r="K229" s="310">
        <v>0</v>
      </c>
      <c r="L229" s="311">
        <v>0</v>
      </c>
      <c r="M229" s="330" t="s">
        <v>291</v>
      </c>
    </row>
    <row r="230" s="263" customFormat="1" ht="27" customHeight="1" spans="1:13">
      <c r="A230" s="294" t="s">
        <v>576</v>
      </c>
      <c r="B230" s="295" t="s">
        <v>577</v>
      </c>
      <c r="C230" s="296"/>
      <c r="D230" s="297">
        <f t="shared" ref="D230:L230" si="132">D231</f>
        <v>1290.6753</v>
      </c>
      <c r="E230" s="298">
        <f t="shared" si="132"/>
        <v>1089.1153</v>
      </c>
      <c r="F230" s="299">
        <f t="shared" si="132"/>
        <v>941.8728</v>
      </c>
      <c r="G230" s="297">
        <f t="shared" si="132"/>
        <v>139.613</v>
      </c>
      <c r="H230" s="298">
        <f t="shared" si="132"/>
        <v>7.6295</v>
      </c>
      <c r="I230" s="325">
        <f t="shared" si="132"/>
        <v>201.56</v>
      </c>
      <c r="J230" s="297">
        <f t="shared" si="132"/>
        <v>201.56</v>
      </c>
      <c r="K230" s="298">
        <f t="shared" si="132"/>
        <v>0</v>
      </c>
      <c r="L230" s="299">
        <f t="shared" si="132"/>
        <v>0</v>
      </c>
      <c r="M230" s="326" t="s">
        <v>291</v>
      </c>
    </row>
    <row r="231" s="263" customFormat="1" ht="40" customHeight="1" spans="1:13">
      <c r="A231" s="300" t="s">
        <v>578</v>
      </c>
      <c r="B231" s="301" t="s">
        <v>579</v>
      </c>
      <c r="C231" s="302"/>
      <c r="D231" s="303">
        <f t="shared" ref="D231:L231" si="133">SUM(D232:D233)</f>
        <v>1290.6753</v>
      </c>
      <c r="E231" s="303">
        <f t="shared" si="133"/>
        <v>1089.1153</v>
      </c>
      <c r="F231" s="303">
        <f t="shared" si="133"/>
        <v>941.8728</v>
      </c>
      <c r="G231" s="303">
        <f t="shared" si="133"/>
        <v>139.613</v>
      </c>
      <c r="H231" s="303">
        <f t="shared" si="133"/>
        <v>7.6295</v>
      </c>
      <c r="I231" s="303">
        <f t="shared" si="133"/>
        <v>201.56</v>
      </c>
      <c r="J231" s="303">
        <f t="shared" si="133"/>
        <v>201.56</v>
      </c>
      <c r="K231" s="304">
        <f t="shared" si="133"/>
        <v>0</v>
      </c>
      <c r="L231" s="305">
        <f t="shared" si="133"/>
        <v>0</v>
      </c>
      <c r="M231" s="328" t="s">
        <v>291</v>
      </c>
    </row>
    <row r="232" s="263" customFormat="1" ht="172" customHeight="1" spans="1:13">
      <c r="A232" s="306" t="s">
        <v>298</v>
      </c>
      <c r="B232" s="307" t="s">
        <v>298</v>
      </c>
      <c r="C232" s="308" t="s">
        <v>528</v>
      </c>
      <c r="D232" s="309">
        <f t="shared" ref="D232:D236" si="134">E232+I232</f>
        <v>499.7466</v>
      </c>
      <c r="E232" s="310">
        <f>SUBTOTAL(9,F232:H232)</f>
        <v>298.1866</v>
      </c>
      <c r="F232" s="311">
        <v>253.3521</v>
      </c>
      <c r="G232" s="309">
        <v>37.205</v>
      </c>
      <c r="H232" s="310">
        <v>7.6295</v>
      </c>
      <c r="I232" s="329">
        <f>SUBTOTAL(9,J232:L232)</f>
        <v>201.56</v>
      </c>
      <c r="J232" s="309">
        <v>201.56</v>
      </c>
      <c r="K232" s="310">
        <v>0</v>
      </c>
      <c r="L232" s="311">
        <v>0</v>
      </c>
      <c r="M232" s="330" t="s">
        <v>580</v>
      </c>
    </row>
    <row r="233" s="263" customFormat="1" ht="26" customHeight="1" spans="1:13">
      <c r="A233" s="306"/>
      <c r="B233" s="307"/>
      <c r="C233" s="308" t="s">
        <v>301</v>
      </c>
      <c r="D233" s="309">
        <f t="shared" si="134"/>
        <v>790.9287</v>
      </c>
      <c r="E233" s="310">
        <f>SUM(F233:H233)</f>
        <v>790.9287</v>
      </c>
      <c r="F233" s="310">
        <v>688.5207</v>
      </c>
      <c r="G233" s="310">
        <v>102.408</v>
      </c>
      <c r="H233" s="310"/>
      <c r="I233" s="329"/>
      <c r="J233" s="309"/>
      <c r="K233" s="310"/>
      <c r="L233" s="311"/>
      <c r="M233" s="330"/>
    </row>
    <row r="234" s="263" customFormat="1" ht="25" customHeight="1" spans="1:13">
      <c r="A234" s="294" t="s">
        <v>581</v>
      </c>
      <c r="B234" s="295" t="s">
        <v>582</v>
      </c>
      <c r="C234" s="296"/>
      <c r="D234" s="297">
        <f t="shared" ref="D234:L234" si="135">D235+D237+D239+D241</f>
        <v>1160.8024</v>
      </c>
      <c r="E234" s="298">
        <f t="shared" si="135"/>
        <v>402.6624</v>
      </c>
      <c r="F234" s="299">
        <f t="shared" si="135"/>
        <v>343.9094</v>
      </c>
      <c r="G234" s="297">
        <f t="shared" si="135"/>
        <v>46.223</v>
      </c>
      <c r="H234" s="298">
        <f t="shared" si="135"/>
        <v>12.53</v>
      </c>
      <c r="I234" s="325">
        <f t="shared" si="135"/>
        <v>758.14</v>
      </c>
      <c r="J234" s="297">
        <f t="shared" si="135"/>
        <v>758.14</v>
      </c>
      <c r="K234" s="298">
        <f t="shared" si="135"/>
        <v>0</v>
      </c>
      <c r="L234" s="299">
        <f t="shared" si="135"/>
        <v>0</v>
      </c>
      <c r="M234" s="326" t="s">
        <v>291</v>
      </c>
    </row>
    <row r="235" s="263" customFormat="1" ht="32" customHeight="1" spans="1:13">
      <c r="A235" s="300" t="s">
        <v>583</v>
      </c>
      <c r="B235" s="301" t="s">
        <v>584</v>
      </c>
      <c r="C235" s="302"/>
      <c r="D235" s="303">
        <f t="shared" ref="D235:L235" si="136">D236</f>
        <v>587.8424</v>
      </c>
      <c r="E235" s="304">
        <f t="shared" si="136"/>
        <v>402.6624</v>
      </c>
      <c r="F235" s="305">
        <f t="shared" si="136"/>
        <v>343.9094</v>
      </c>
      <c r="G235" s="303">
        <f t="shared" si="136"/>
        <v>46.223</v>
      </c>
      <c r="H235" s="304">
        <f t="shared" si="136"/>
        <v>12.53</v>
      </c>
      <c r="I235" s="327">
        <f t="shared" si="136"/>
        <v>185.18</v>
      </c>
      <c r="J235" s="303">
        <f t="shared" si="136"/>
        <v>185.18</v>
      </c>
      <c r="K235" s="304">
        <f t="shared" si="136"/>
        <v>0</v>
      </c>
      <c r="L235" s="305">
        <f t="shared" si="136"/>
        <v>0</v>
      </c>
      <c r="M235" s="328" t="s">
        <v>291</v>
      </c>
    </row>
    <row r="236" s="263" customFormat="1" ht="206" customHeight="1" spans="1:13">
      <c r="A236" s="306" t="s">
        <v>298</v>
      </c>
      <c r="B236" s="307" t="s">
        <v>298</v>
      </c>
      <c r="C236" s="308" t="s">
        <v>529</v>
      </c>
      <c r="D236" s="309">
        <f t="shared" si="134"/>
        <v>587.8424</v>
      </c>
      <c r="E236" s="310">
        <f t="shared" ref="E236:E240" si="137">SUBTOTAL(9,F236:H236)</f>
        <v>402.6624</v>
      </c>
      <c r="F236" s="311">
        <v>343.9094</v>
      </c>
      <c r="G236" s="309">
        <v>46.223</v>
      </c>
      <c r="H236" s="310">
        <v>12.53</v>
      </c>
      <c r="I236" s="329">
        <f t="shared" ref="I236:I240" si="138">SUBTOTAL(9,J236:L236)</f>
        <v>185.18</v>
      </c>
      <c r="J236" s="309">
        <v>185.18</v>
      </c>
      <c r="K236" s="310">
        <v>0</v>
      </c>
      <c r="L236" s="311">
        <v>0</v>
      </c>
      <c r="M236" s="330" t="s">
        <v>585</v>
      </c>
    </row>
    <row r="237" s="263" customFormat="1" ht="22" customHeight="1" spans="1:13">
      <c r="A237" s="300" t="s">
        <v>586</v>
      </c>
      <c r="B237" s="301" t="s">
        <v>587</v>
      </c>
      <c r="C237" s="302"/>
      <c r="D237" s="303">
        <f t="shared" ref="D237:L237" si="139">D238</f>
        <v>13.36</v>
      </c>
      <c r="E237" s="304">
        <f t="shared" si="139"/>
        <v>0</v>
      </c>
      <c r="F237" s="305">
        <f t="shared" si="139"/>
        <v>0</v>
      </c>
      <c r="G237" s="303">
        <f t="shared" si="139"/>
        <v>0</v>
      </c>
      <c r="H237" s="304">
        <f t="shared" si="139"/>
        <v>0</v>
      </c>
      <c r="I237" s="327">
        <f t="shared" si="139"/>
        <v>13.36</v>
      </c>
      <c r="J237" s="303">
        <f t="shared" si="139"/>
        <v>13.36</v>
      </c>
      <c r="K237" s="304">
        <f t="shared" si="139"/>
        <v>0</v>
      </c>
      <c r="L237" s="305">
        <f t="shared" si="139"/>
        <v>0</v>
      </c>
      <c r="M237" s="328" t="s">
        <v>291</v>
      </c>
    </row>
    <row r="238" s="263" customFormat="1" ht="28" customHeight="1" spans="1:13">
      <c r="A238" s="306" t="s">
        <v>298</v>
      </c>
      <c r="B238" s="307" t="s">
        <v>298</v>
      </c>
      <c r="C238" s="308" t="s">
        <v>529</v>
      </c>
      <c r="D238" s="309">
        <f t="shared" ref="D238:D242" si="140">E238+I238</f>
        <v>13.36</v>
      </c>
      <c r="E238" s="310">
        <f t="shared" si="137"/>
        <v>0</v>
      </c>
      <c r="F238" s="311">
        <v>0</v>
      </c>
      <c r="G238" s="309">
        <v>0</v>
      </c>
      <c r="H238" s="310">
        <v>0</v>
      </c>
      <c r="I238" s="329">
        <f t="shared" si="138"/>
        <v>13.36</v>
      </c>
      <c r="J238" s="309">
        <v>13.36</v>
      </c>
      <c r="K238" s="310">
        <v>0</v>
      </c>
      <c r="L238" s="311">
        <v>0</v>
      </c>
      <c r="M238" s="330" t="s">
        <v>588</v>
      </c>
    </row>
    <row r="239" s="263" customFormat="1" ht="22" customHeight="1" spans="1:13">
      <c r="A239" s="300" t="s">
        <v>589</v>
      </c>
      <c r="B239" s="301" t="s">
        <v>590</v>
      </c>
      <c r="C239" s="302"/>
      <c r="D239" s="303">
        <f t="shared" ref="D239:L239" si="141">D240</f>
        <v>18.72</v>
      </c>
      <c r="E239" s="304">
        <f t="shared" si="141"/>
        <v>0</v>
      </c>
      <c r="F239" s="305">
        <f t="shared" si="141"/>
        <v>0</v>
      </c>
      <c r="G239" s="303">
        <f t="shared" si="141"/>
        <v>0</v>
      </c>
      <c r="H239" s="304">
        <f t="shared" si="141"/>
        <v>0</v>
      </c>
      <c r="I239" s="327">
        <f t="shared" si="141"/>
        <v>18.72</v>
      </c>
      <c r="J239" s="303">
        <f t="shared" si="141"/>
        <v>18.72</v>
      </c>
      <c r="K239" s="304">
        <f t="shared" si="141"/>
        <v>0</v>
      </c>
      <c r="L239" s="305">
        <f t="shared" si="141"/>
        <v>0</v>
      </c>
      <c r="M239" s="328" t="s">
        <v>291</v>
      </c>
    </row>
    <row r="240" s="263" customFormat="1" ht="29" customHeight="1" spans="1:13">
      <c r="A240" s="306" t="s">
        <v>298</v>
      </c>
      <c r="B240" s="307" t="s">
        <v>298</v>
      </c>
      <c r="C240" s="308" t="s">
        <v>529</v>
      </c>
      <c r="D240" s="309">
        <f t="shared" si="140"/>
        <v>18.72</v>
      </c>
      <c r="E240" s="310">
        <f t="shared" si="137"/>
        <v>0</v>
      </c>
      <c r="F240" s="311">
        <v>0</v>
      </c>
      <c r="G240" s="309">
        <v>0</v>
      </c>
      <c r="H240" s="310">
        <v>0</v>
      </c>
      <c r="I240" s="329">
        <f t="shared" si="138"/>
        <v>18.72</v>
      </c>
      <c r="J240" s="309">
        <v>18.72</v>
      </c>
      <c r="K240" s="310">
        <v>0</v>
      </c>
      <c r="L240" s="311">
        <v>0</v>
      </c>
      <c r="M240" s="330" t="s">
        <v>591</v>
      </c>
    </row>
    <row r="241" s="263" customFormat="1" ht="22" customHeight="1" spans="1:13">
      <c r="A241" s="300" t="s">
        <v>592</v>
      </c>
      <c r="B241" s="301" t="s">
        <v>593</v>
      </c>
      <c r="C241" s="302"/>
      <c r="D241" s="303">
        <f t="shared" ref="D241:L241" si="142">D242</f>
        <v>540.88</v>
      </c>
      <c r="E241" s="304">
        <f t="shared" si="142"/>
        <v>0</v>
      </c>
      <c r="F241" s="305">
        <f t="shared" si="142"/>
        <v>0</v>
      </c>
      <c r="G241" s="303">
        <f t="shared" si="142"/>
        <v>0</v>
      </c>
      <c r="H241" s="304">
        <f t="shared" si="142"/>
        <v>0</v>
      </c>
      <c r="I241" s="327">
        <f t="shared" si="142"/>
        <v>540.88</v>
      </c>
      <c r="J241" s="303">
        <f t="shared" si="142"/>
        <v>540.88</v>
      </c>
      <c r="K241" s="304">
        <f t="shared" si="142"/>
        <v>0</v>
      </c>
      <c r="L241" s="305">
        <f t="shared" si="142"/>
        <v>0</v>
      </c>
      <c r="M241" s="328" t="s">
        <v>291</v>
      </c>
    </row>
    <row r="242" s="263" customFormat="1" ht="103" customHeight="1" spans="1:13">
      <c r="A242" s="306" t="s">
        <v>298</v>
      </c>
      <c r="B242" s="307" t="s">
        <v>298</v>
      </c>
      <c r="C242" s="308" t="s">
        <v>529</v>
      </c>
      <c r="D242" s="309">
        <f t="shared" si="140"/>
        <v>540.88</v>
      </c>
      <c r="E242" s="310">
        <f t="shared" ref="E242:E247" si="143">SUBTOTAL(9,F242:H242)</f>
        <v>0</v>
      </c>
      <c r="F242" s="311">
        <v>0</v>
      </c>
      <c r="G242" s="309">
        <v>0</v>
      </c>
      <c r="H242" s="310">
        <v>0</v>
      </c>
      <c r="I242" s="329">
        <f t="shared" ref="I242:I247" si="144">SUBTOTAL(9,J242:L242)</f>
        <v>540.88</v>
      </c>
      <c r="J242" s="309">
        <v>540.88</v>
      </c>
      <c r="K242" s="310">
        <v>0</v>
      </c>
      <c r="L242" s="311">
        <v>0</v>
      </c>
      <c r="M242" s="330" t="s">
        <v>594</v>
      </c>
    </row>
    <row r="243" s="263" customFormat="1" ht="24" customHeight="1" spans="1:13">
      <c r="A243" s="294" t="s">
        <v>595</v>
      </c>
      <c r="B243" s="295" t="s">
        <v>596</v>
      </c>
      <c r="C243" s="296"/>
      <c r="D243" s="297">
        <f t="shared" ref="D243:L243" si="145">D244+D248</f>
        <v>561.4043</v>
      </c>
      <c r="E243" s="298">
        <f t="shared" si="145"/>
        <v>247.1043</v>
      </c>
      <c r="F243" s="299">
        <f t="shared" si="145"/>
        <v>214.1465</v>
      </c>
      <c r="G243" s="297">
        <f t="shared" si="145"/>
        <v>25.726</v>
      </c>
      <c r="H243" s="298">
        <f t="shared" si="145"/>
        <v>7.2318</v>
      </c>
      <c r="I243" s="325">
        <f t="shared" si="145"/>
        <v>314.3</v>
      </c>
      <c r="J243" s="297">
        <f t="shared" si="145"/>
        <v>314.3</v>
      </c>
      <c r="K243" s="298">
        <f t="shared" si="145"/>
        <v>0</v>
      </c>
      <c r="L243" s="299">
        <f t="shared" si="145"/>
        <v>0</v>
      </c>
      <c r="M243" s="326" t="s">
        <v>291</v>
      </c>
    </row>
    <row r="244" s="263" customFormat="1" ht="28" customHeight="1" spans="1:13">
      <c r="A244" s="300" t="s">
        <v>597</v>
      </c>
      <c r="B244" s="301" t="s">
        <v>598</v>
      </c>
      <c r="C244" s="302"/>
      <c r="D244" s="303">
        <f t="shared" ref="D244:L244" si="146">SUM(D245:D247)</f>
        <v>511.4943</v>
      </c>
      <c r="E244" s="304">
        <f t="shared" si="146"/>
        <v>247.1043</v>
      </c>
      <c r="F244" s="305">
        <f t="shared" si="146"/>
        <v>214.1465</v>
      </c>
      <c r="G244" s="303">
        <f t="shared" si="146"/>
        <v>25.726</v>
      </c>
      <c r="H244" s="304">
        <f t="shared" si="146"/>
        <v>7.2318</v>
      </c>
      <c r="I244" s="327">
        <f t="shared" si="146"/>
        <v>264.39</v>
      </c>
      <c r="J244" s="303">
        <f t="shared" si="146"/>
        <v>264.39</v>
      </c>
      <c r="K244" s="304">
        <f t="shared" si="146"/>
        <v>0</v>
      </c>
      <c r="L244" s="305">
        <f t="shared" si="146"/>
        <v>0</v>
      </c>
      <c r="M244" s="328" t="s">
        <v>291</v>
      </c>
    </row>
    <row r="245" s="263" customFormat="1" ht="26" customHeight="1" spans="1:13">
      <c r="A245" s="306" t="s">
        <v>298</v>
      </c>
      <c r="B245" s="307" t="s">
        <v>298</v>
      </c>
      <c r="C245" s="308" t="s">
        <v>521</v>
      </c>
      <c r="D245" s="309">
        <f t="shared" ref="D245:D247" si="147">E245+I245</f>
        <v>36.6923</v>
      </c>
      <c r="E245" s="310">
        <f t="shared" si="143"/>
        <v>32.0923</v>
      </c>
      <c r="F245" s="311">
        <v>27.7543</v>
      </c>
      <c r="G245" s="309">
        <v>4.338</v>
      </c>
      <c r="H245" s="310">
        <v>0</v>
      </c>
      <c r="I245" s="329">
        <f t="shared" si="144"/>
        <v>4.6</v>
      </c>
      <c r="J245" s="309">
        <v>4.6</v>
      </c>
      <c r="K245" s="310">
        <v>0</v>
      </c>
      <c r="L245" s="311">
        <v>0</v>
      </c>
      <c r="M245" s="330" t="s">
        <v>599</v>
      </c>
    </row>
    <row r="246" s="263" customFormat="1" ht="31" customHeight="1" spans="1:13">
      <c r="A246" s="306" t="s">
        <v>298</v>
      </c>
      <c r="B246" s="307" t="s">
        <v>298</v>
      </c>
      <c r="C246" s="308" t="s">
        <v>523</v>
      </c>
      <c r="D246" s="309">
        <f t="shared" si="147"/>
        <v>51.9928</v>
      </c>
      <c r="E246" s="310">
        <f t="shared" si="143"/>
        <v>47.0928</v>
      </c>
      <c r="F246" s="311">
        <v>38.8028</v>
      </c>
      <c r="G246" s="309">
        <v>5.824</v>
      </c>
      <c r="H246" s="310">
        <v>2.466</v>
      </c>
      <c r="I246" s="329">
        <f t="shared" si="144"/>
        <v>4.9</v>
      </c>
      <c r="J246" s="309">
        <v>4.9</v>
      </c>
      <c r="K246" s="310">
        <v>0</v>
      </c>
      <c r="L246" s="311">
        <v>0</v>
      </c>
      <c r="M246" s="330" t="s">
        <v>600</v>
      </c>
    </row>
    <row r="247" s="263" customFormat="1" ht="175" customHeight="1" spans="1:13">
      <c r="A247" s="306" t="s">
        <v>298</v>
      </c>
      <c r="B247" s="307" t="s">
        <v>298</v>
      </c>
      <c r="C247" s="308" t="s">
        <v>545</v>
      </c>
      <c r="D247" s="309">
        <f t="shared" si="147"/>
        <v>422.8092</v>
      </c>
      <c r="E247" s="310">
        <f t="shared" si="143"/>
        <v>167.9192</v>
      </c>
      <c r="F247" s="311">
        <v>147.5894</v>
      </c>
      <c r="G247" s="309">
        <v>15.564</v>
      </c>
      <c r="H247" s="310">
        <v>4.7658</v>
      </c>
      <c r="I247" s="329">
        <f t="shared" si="144"/>
        <v>254.89</v>
      </c>
      <c r="J247" s="309">
        <v>254.89</v>
      </c>
      <c r="K247" s="310">
        <v>0</v>
      </c>
      <c r="L247" s="311">
        <v>0</v>
      </c>
      <c r="M247" s="330" t="s">
        <v>601</v>
      </c>
    </row>
    <row r="248" s="263" customFormat="1" ht="25" customHeight="1" spans="1:13">
      <c r="A248" s="300" t="s">
        <v>602</v>
      </c>
      <c r="B248" s="301" t="s">
        <v>603</v>
      </c>
      <c r="C248" s="302"/>
      <c r="D248" s="303">
        <f t="shared" ref="D248:L248" si="148">D249</f>
        <v>49.91</v>
      </c>
      <c r="E248" s="304">
        <f t="shared" si="148"/>
        <v>0</v>
      </c>
      <c r="F248" s="305">
        <f t="shared" si="148"/>
        <v>0</v>
      </c>
      <c r="G248" s="303">
        <f t="shared" si="148"/>
        <v>0</v>
      </c>
      <c r="H248" s="304">
        <f t="shared" si="148"/>
        <v>0</v>
      </c>
      <c r="I248" s="327">
        <f t="shared" si="148"/>
        <v>49.91</v>
      </c>
      <c r="J248" s="303">
        <f t="shared" si="148"/>
        <v>49.91</v>
      </c>
      <c r="K248" s="304">
        <f t="shared" si="148"/>
        <v>0</v>
      </c>
      <c r="L248" s="305">
        <f t="shared" si="148"/>
        <v>0</v>
      </c>
      <c r="M248" s="328" t="s">
        <v>291</v>
      </c>
    </row>
    <row r="249" s="263" customFormat="1" ht="40" customHeight="1" spans="1:13">
      <c r="A249" s="306" t="s">
        <v>298</v>
      </c>
      <c r="B249" s="307" t="s">
        <v>298</v>
      </c>
      <c r="C249" s="308" t="s">
        <v>545</v>
      </c>
      <c r="D249" s="309">
        <f t="shared" ref="D249:D254" si="149">E249+I249</f>
        <v>49.91</v>
      </c>
      <c r="E249" s="310">
        <f t="shared" ref="E249:E254" si="150">SUBTOTAL(9,F249:H249)</f>
        <v>0</v>
      </c>
      <c r="F249" s="311">
        <v>0</v>
      </c>
      <c r="G249" s="309">
        <v>0</v>
      </c>
      <c r="H249" s="310">
        <v>0</v>
      </c>
      <c r="I249" s="329">
        <f t="shared" ref="I249:I254" si="151">SUBTOTAL(9,J249:L249)</f>
        <v>49.91</v>
      </c>
      <c r="J249" s="309">
        <v>49.91</v>
      </c>
      <c r="K249" s="310">
        <v>0</v>
      </c>
      <c r="L249" s="311">
        <v>0</v>
      </c>
      <c r="M249" s="330" t="s">
        <v>604</v>
      </c>
    </row>
    <row r="250" s="263" customFormat="1" ht="24" customHeight="1" spans="1:13">
      <c r="A250" s="294" t="s">
        <v>605</v>
      </c>
      <c r="B250" s="295" t="s">
        <v>606</v>
      </c>
      <c r="C250" s="296"/>
      <c r="D250" s="297">
        <f t="shared" ref="D250:L250" si="152">D251+D253+D255+D257</f>
        <v>117.3788</v>
      </c>
      <c r="E250" s="298">
        <f t="shared" si="152"/>
        <v>92.8688</v>
      </c>
      <c r="F250" s="299">
        <f t="shared" si="152"/>
        <v>77.0728</v>
      </c>
      <c r="G250" s="297">
        <f t="shared" si="152"/>
        <v>9.852</v>
      </c>
      <c r="H250" s="298">
        <f t="shared" si="152"/>
        <v>5.944</v>
      </c>
      <c r="I250" s="325">
        <f t="shared" si="152"/>
        <v>24.51</v>
      </c>
      <c r="J250" s="297">
        <f t="shared" si="152"/>
        <v>24.51</v>
      </c>
      <c r="K250" s="298">
        <f t="shared" si="152"/>
        <v>0</v>
      </c>
      <c r="L250" s="299">
        <f t="shared" si="152"/>
        <v>0</v>
      </c>
      <c r="M250" s="326" t="s">
        <v>291</v>
      </c>
    </row>
    <row r="251" s="263" customFormat="1" ht="29" customHeight="1" spans="1:13">
      <c r="A251" s="300" t="s">
        <v>607</v>
      </c>
      <c r="B251" s="301" t="s">
        <v>608</v>
      </c>
      <c r="C251" s="302"/>
      <c r="D251" s="303">
        <f t="shared" ref="D251:L251" si="153">D252</f>
        <v>111.2588</v>
      </c>
      <c r="E251" s="304">
        <f t="shared" si="153"/>
        <v>92.8688</v>
      </c>
      <c r="F251" s="305">
        <f t="shared" si="153"/>
        <v>77.0728</v>
      </c>
      <c r="G251" s="303">
        <f t="shared" si="153"/>
        <v>9.852</v>
      </c>
      <c r="H251" s="304">
        <f t="shared" si="153"/>
        <v>5.944</v>
      </c>
      <c r="I251" s="327">
        <f t="shared" si="153"/>
        <v>18.39</v>
      </c>
      <c r="J251" s="303">
        <f t="shared" si="153"/>
        <v>18.39</v>
      </c>
      <c r="K251" s="304">
        <f t="shared" si="153"/>
        <v>0</v>
      </c>
      <c r="L251" s="305">
        <f t="shared" si="153"/>
        <v>0</v>
      </c>
      <c r="M251" s="328" t="s">
        <v>291</v>
      </c>
    </row>
    <row r="252" s="263" customFormat="1" ht="72" customHeight="1" spans="1:13">
      <c r="A252" s="306" t="s">
        <v>298</v>
      </c>
      <c r="B252" s="307" t="s">
        <v>298</v>
      </c>
      <c r="C252" s="308" t="s">
        <v>492</v>
      </c>
      <c r="D252" s="309">
        <f t="shared" si="149"/>
        <v>111.2588</v>
      </c>
      <c r="E252" s="310">
        <f t="shared" si="150"/>
        <v>92.8688</v>
      </c>
      <c r="F252" s="311">
        <v>77.0728</v>
      </c>
      <c r="G252" s="309">
        <v>9.852</v>
      </c>
      <c r="H252" s="310">
        <v>5.944</v>
      </c>
      <c r="I252" s="329">
        <f t="shared" si="151"/>
        <v>18.39</v>
      </c>
      <c r="J252" s="309">
        <v>18.39</v>
      </c>
      <c r="K252" s="310">
        <v>0</v>
      </c>
      <c r="L252" s="311">
        <v>0</v>
      </c>
      <c r="M252" s="330" t="s">
        <v>609</v>
      </c>
    </row>
    <row r="253" s="263" customFormat="1" ht="22" customHeight="1" spans="1:13">
      <c r="A253" s="300" t="s">
        <v>610</v>
      </c>
      <c r="B253" s="301" t="s">
        <v>611</v>
      </c>
      <c r="C253" s="302"/>
      <c r="D253" s="303">
        <f t="shared" ref="D253:L253" si="154">D254</f>
        <v>0.72</v>
      </c>
      <c r="E253" s="304">
        <f t="shared" si="154"/>
        <v>0</v>
      </c>
      <c r="F253" s="305">
        <f t="shared" si="154"/>
        <v>0</v>
      </c>
      <c r="G253" s="303">
        <f t="shared" si="154"/>
        <v>0</v>
      </c>
      <c r="H253" s="304">
        <f t="shared" si="154"/>
        <v>0</v>
      </c>
      <c r="I253" s="327">
        <f t="shared" si="154"/>
        <v>0.72</v>
      </c>
      <c r="J253" s="303">
        <f t="shared" si="154"/>
        <v>0.72</v>
      </c>
      <c r="K253" s="304">
        <f t="shared" si="154"/>
        <v>0</v>
      </c>
      <c r="L253" s="305">
        <f t="shared" si="154"/>
        <v>0</v>
      </c>
      <c r="M253" s="328" t="s">
        <v>291</v>
      </c>
    </row>
    <row r="254" s="263" customFormat="1" ht="18.75" customHeight="1" spans="1:13">
      <c r="A254" s="306" t="s">
        <v>298</v>
      </c>
      <c r="B254" s="307" t="s">
        <v>298</v>
      </c>
      <c r="C254" s="308" t="s">
        <v>492</v>
      </c>
      <c r="D254" s="309">
        <f t="shared" si="149"/>
        <v>0.72</v>
      </c>
      <c r="E254" s="310">
        <f t="shared" si="150"/>
        <v>0</v>
      </c>
      <c r="F254" s="311">
        <v>0</v>
      </c>
      <c r="G254" s="309">
        <v>0</v>
      </c>
      <c r="H254" s="310">
        <v>0</v>
      </c>
      <c r="I254" s="329">
        <f t="shared" si="151"/>
        <v>0.72</v>
      </c>
      <c r="J254" s="309">
        <v>0.72</v>
      </c>
      <c r="K254" s="310">
        <v>0</v>
      </c>
      <c r="L254" s="311">
        <v>0</v>
      </c>
      <c r="M254" s="330" t="s">
        <v>612</v>
      </c>
    </row>
    <row r="255" s="263" customFormat="1" ht="25" customHeight="1" spans="1:13">
      <c r="A255" s="300" t="s">
        <v>613</v>
      </c>
      <c r="B255" s="301" t="s">
        <v>614</v>
      </c>
      <c r="C255" s="302"/>
      <c r="D255" s="303">
        <f t="shared" ref="D255:L255" si="155">D256</f>
        <v>1.44</v>
      </c>
      <c r="E255" s="304">
        <f t="shared" si="155"/>
        <v>0</v>
      </c>
      <c r="F255" s="305">
        <f t="shared" si="155"/>
        <v>0</v>
      </c>
      <c r="G255" s="303">
        <f t="shared" si="155"/>
        <v>0</v>
      </c>
      <c r="H255" s="304">
        <f t="shared" si="155"/>
        <v>0</v>
      </c>
      <c r="I255" s="327">
        <f t="shared" si="155"/>
        <v>1.44</v>
      </c>
      <c r="J255" s="303">
        <f t="shared" si="155"/>
        <v>1.44</v>
      </c>
      <c r="K255" s="304">
        <f t="shared" si="155"/>
        <v>0</v>
      </c>
      <c r="L255" s="305">
        <f t="shared" si="155"/>
        <v>0</v>
      </c>
      <c r="M255" s="328" t="s">
        <v>291</v>
      </c>
    </row>
    <row r="256" s="263" customFormat="1" ht="18.75" customHeight="1" spans="1:13">
      <c r="A256" s="306" t="s">
        <v>298</v>
      </c>
      <c r="B256" s="307" t="s">
        <v>298</v>
      </c>
      <c r="C256" s="308" t="s">
        <v>492</v>
      </c>
      <c r="D256" s="309">
        <f t="shared" ref="D256:D261" si="156">E256+I256</f>
        <v>1.44</v>
      </c>
      <c r="E256" s="310">
        <f t="shared" ref="E256:E261" si="157">SUBTOTAL(9,F256:H256)</f>
        <v>0</v>
      </c>
      <c r="F256" s="311">
        <v>0</v>
      </c>
      <c r="G256" s="309">
        <v>0</v>
      </c>
      <c r="H256" s="310">
        <v>0</v>
      </c>
      <c r="I256" s="329">
        <f t="shared" ref="I256:I261" si="158">SUBTOTAL(9,J256:L256)</f>
        <v>1.44</v>
      </c>
      <c r="J256" s="309">
        <v>1.44</v>
      </c>
      <c r="K256" s="310">
        <v>0</v>
      </c>
      <c r="L256" s="311">
        <v>0</v>
      </c>
      <c r="M256" s="330" t="s">
        <v>615</v>
      </c>
    </row>
    <row r="257" s="263" customFormat="1" ht="22" customHeight="1" spans="1:13">
      <c r="A257" s="300" t="s">
        <v>616</v>
      </c>
      <c r="B257" s="301" t="s">
        <v>617</v>
      </c>
      <c r="C257" s="302"/>
      <c r="D257" s="303">
        <f t="shared" ref="D257:L257" si="159">D258</f>
        <v>3.96</v>
      </c>
      <c r="E257" s="304">
        <f t="shared" si="159"/>
        <v>0</v>
      </c>
      <c r="F257" s="305">
        <f t="shared" si="159"/>
        <v>0</v>
      </c>
      <c r="G257" s="303">
        <f t="shared" si="159"/>
        <v>0</v>
      </c>
      <c r="H257" s="304">
        <f t="shared" si="159"/>
        <v>0</v>
      </c>
      <c r="I257" s="327">
        <f t="shared" si="159"/>
        <v>3.96</v>
      </c>
      <c r="J257" s="303">
        <f t="shared" si="159"/>
        <v>3.96</v>
      </c>
      <c r="K257" s="304">
        <f t="shared" si="159"/>
        <v>0</v>
      </c>
      <c r="L257" s="305">
        <f t="shared" si="159"/>
        <v>0</v>
      </c>
      <c r="M257" s="328" t="s">
        <v>291</v>
      </c>
    </row>
    <row r="258" s="263" customFormat="1" ht="18.75" customHeight="1" spans="1:13">
      <c r="A258" s="306" t="s">
        <v>298</v>
      </c>
      <c r="B258" s="307" t="s">
        <v>298</v>
      </c>
      <c r="C258" s="308" t="s">
        <v>492</v>
      </c>
      <c r="D258" s="309">
        <f t="shared" si="156"/>
        <v>3.96</v>
      </c>
      <c r="E258" s="310">
        <f t="shared" si="157"/>
        <v>0</v>
      </c>
      <c r="F258" s="311">
        <v>0</v>
      </c>
      <c r="G258" s="309">
        <v>0</v>
      </c>
      <c r="H258" s="310">
        <v>0</v>
      </c>
      <c r="I258" s="329">
        <f t="shared" si="158"/>
        <v>3.96</v>
      </c>
      <c r="J258" s="309">
        <v>3.96</v>
      </c>
      <c r="K258" s="310">
        <v>0</v>
      </c>
      <c r="L258" s="311">
        <v>0</v>
      </c>
      <c r="M258" s="330" t="s">
        <v>618</v>
      </c>
    </row>
    <row r="259" s="263" customFormat="1" ht="27" customHeight="1" spans="1:13">
      <c r="A259" s="294" t="s">
        <v>619</v>
      </c>
      <c r="B259" s="295" t="s">
        <v>620</v>
      </c>
      <c r="C259" s="296"/>
      <c r="D259" s="297">
        <f t="shared" ref="D259:L259" si="160">D260</f>
        <v>5.84</v>
      </c>
      <c r="E259" s="298">
        <f t="shared" si="160"/>
        <v>0</v>
      </c>
      <c r="F259" s="299">
        <f t="shared" si="160"/>
        <v>0</v>
      </c>
      <c r="G259" s="297">
        <f t="shared" si="160"/>
        <v>0</v>
      </c>
      <c r="H259" s="298">
        <f t="shared" si="160"/>
        <v>0</v>
      </c>
      <c r="I259" s="325">
        <f t="shared" si="160"/>
        <v>5.84</v>
      </c>
      <c r="J259" s="297">
        <f t="shared" si="160"/>
        <v>5.84</v>
      </c>
      <c r="K259" s="298">
        <f t="shared" si="160"/>
        <v>0</v>
      </c>
      <c r="L259" s="299">
        <f t="shared" si="160"/>
        <v>0</v>
      </c>
      <c r="M259" s="326" t="s">
        <v>291</v>
      </c>
    </row>
    <row r="260" s="263" customFormat="1" ht="27" customHeight="1" spans="1:13">
      <c r="A260" s="300" t="s">
        <v>621</v>
      </c>
      <c r="B260" s="301" t="s">
        <v>622</v>
      </c>
      <c r="C260" s="302"/>
      <c r="D260" s="303">
        <f t="shared" ref="D260:L260" si="161">D261</f>
        <v>5.84</v>
      </c>
      <c r="E260" s="304">
        <f t="shared" si="161"/>
        <v>0</v>
      </c>
      <c r="F260" s="305">
        <f t="shared" si="161"/>
        <v>0</v>
      </c>
      <c r="G260" s="303">
        <f t="shared" si="161"/>
        <v>0</v>
      </c>
      <c r="H260" s="304">
        <f t="shared" si="161"/>
        <v>0</v>
      </c>
      <c r="I260" s="327">
        <f t="shared" si="161"/>
        <v>5.84</v>
      </c>
      <c r="J260" s="303">
        <f t="shared" si="161"/>
        <v>5.84</v>
      </c>
      <c r="K260" s="304">
        <f t="shared" si="161"/>
        <v>0</v>
      </c>
      <c r="L260" s="305">
        <f t="shared" si="161"/>
        <v>0</v>
      </c>
      <c r="M260" s="328" t="s">
        <v>291</v>
      </c>
    </row>
    <row r="261" s="263" customFormat="1" ht="27" customHeight="1" spans="1:13">
      <c r="A261" s="306" t="s">
        <v>298</v>
      </c>
      <c r="B261" s="307" t="s">
        <v>298</v>
      </c>
      <c r="C261" s="308" t="s">
        <v>361</v>
      </c>
      <c r="D261" s="309">
        <f t="shared" si="156"/>
        <v>5.84</v>
      </c>
      <c r="E261" s="310">
        <f t="shared" si="157"/>
        <v>0</v>
      </c>
      <c r="F261" s="311">
        <v>0</v>
      </c>
      <c r="G261" s="309">
        <v>0</v>
      </c>
      <c r="H261" s="310">
        <v>0</v>
      </c>
      <c r="I261" s="329">
        <f t="shared" si="158"/>
        <v>5.84</v>
      </c>
      <c r="J261" s="309">
        <v>5.84</v>
      </c>
      <c r="K261" s="310">
        <v>0</v>
      </c>
      <c r="L261" s="311">
        <v>0</v>
      </c>
      <c r="M261" s="330" t="s">
        <v>623</v>
      </c>
    </row>
    <row r="262" s="263" customFormat="1" ht="27" customHeight="1" spans="1:13">
      <c r="A262" s="294" t="s">
        <v>624</v>
      </c>
      <c r="B262" s="295" t="s">
        <v>625</v>
      </c>
      <c r="C262" s="296"/>
      <c r="D262" s="297">
        <f t="shared" ref="D262:L262" si="162">D263</f>
        <v>237.1397</v>
      </c>
      <c r="E262" s="298">
        <f t="shared" si="162"/>
        <v>148.4897</v>
      </c>
      <c r="F262" s="299">
        <f t="shared" si="162"/>
        <v>129.3443</v>
      </c>
      <c r="G262" s="297">
        <f t="shared" si="162"/>
        <v>15.88</v>
      </c>
      <c r="H262" s="298">
        <f t="shared" si="162"/>
        <v>3.2654</v>
      </c>
      <c r="I262" s="325">
        <f t="shared" si="162"/>
        <v>88.65</v>
      </c>
      <c r="J262" s="297">
        <f t="shared" si="162"/>
        <v>88.65</v>
      </c>
      <c r="K262" s="298">
        <f t="shared" si="162"/>
        <v>0</v>
      </c>
      <c r="L262" s="299">
        <f t="shared" si="162"/>
        <v>0</v>
      </c>
      <c r="M262" s="326" t="s">
        <v>291</v>
      </c>
    </row>
    <row r="263" s="263" customFormat="1" ht="27" customHeight="1" spans="1:13">
      <c r="A263" s="300" t="s">
        <v>626</v>
      </c>
      <c r="B263" s="301" t="s">
        <v>627</v>
      </c>
      <c r="C263" s="302"/>
      <c r="D263" s="303">
        <f t="shared" ref="D263:L263" si="163">D264</f>
        <v>237.1397</v>
      </c>
      <c r="E263" s="304">
        <f t="shared" si="163"/>
        <v>148.4897</v>
      </c>
      <c r="F263" s="305">
        <f t="shared" si="163"/>
        <v>129.3443</v>
      </c>
      <c r="G263" s="303">
        <f t="shared" si="163"/>
        <v>15.88</v>
      </c>
      <c r="H263" s="304">
        <f t="shared" si="163"/>
        <v>3.2654</v>
      </c>
      <c r="I263" s="327">
        <f t="shared" si="163"/>
        <v>88.65</v>
      </c>
      <c r="J263" s="303">
        <f t="shared" si="163"/>
        <v>88.65</v>
      </c>
      <c r="K263" s="304">
        <f t="shared" si="163"/>
        <v>0</v>
      </c>
      <c r="L263" s="305">
        <f t="shared" si="163"/>
        <v>0</v>
      </c>
      <c r="M263" s="328" t="s">
        <v>291</v>
      </c>
    </row>
    <row r="264" s="263" customFormat="1" ht="114" customHeight="1" spans="1:13">
      <c r="A264" s="306" t="s">
        <v>298</v>
      </c>
      <c r="B264" s="307" t="s">
        <v>298</v>
      </c>
      <c r="C264" s="308" t="s">
        <v>530</v>
      </c>
      <c r="D264" s="309">
        <f t="shared" ref="D264:D269" si="164">E264+I264</f>
        <v>237.1397</v>
      </c>
      <c r="E264" s="310">
        <f t="shared" ref="E264:E269" si="165">SUBTOTAL(9,F264:H264)</f>
        <v>148.4897</v>
      </c>
      <c r="F264" s="311">
        <v>129.3443</v>
      </c>
      <c r="G264" s="309">
        <v>15.88</v>
      </c>
      <c r="H264" s="310">
        <v>3.2654</v>
      </c>
      <c r="I264" s="329">
        <f t="shared" ref="I264:I269" si="166">SUBTOTAL(9,J264:L264)</f>
        <v>88.65</v>
      </c>
      <c r="J264" s="309">
        <v>88.65</v>
      </c>
      <c r="K264" s="310">
        <v>0</v>
      </c>
      <c r="L264" s="311">
        <v>0</v>
      </c>
      <c r="M264" s="330" t="s">
        <v>628</v>
      </c>
    </row>
    <row r="265" s="263" customFormat="1" ht="18.75" customHeight="1" spans="1:13">
      <c r="A265" s="294" t="s">
        <v>629</v>
      </c>
      <c r="B265" s="295" t="s">
        <v>630</v>
      </c>
      <c r="C265" s="296"/>
      <c r="D265" s="297">
        <f t="shared" ref="D265:L265" si="167">D266+D268+D270+D272+D274+D276+D278+D280+D282+D284</f>
        <v>1296.7326</v>
      </c>
      <c r="E265" s="298">
        <f t="shared" si="167"/>
        <v>1182.1126</v>
      </c>
      <c r="F265" s="299">
        <f t="shared" si="167"/>
        <v>970.2127</v>
      </c>
      <c r="G265" s="297">
        <f t="shared" si="167"/>
        <v>170.95</v>
      </c>
      <c r="H265" s="298">
        <f t="shared" si="167"/>
        <v>40.9499</v>
      </c>
      <c r="I265" s="325">
        <f t="shared" si="167"/>
        <v>114.62</v>
      </c>
      <c r="J265" s="297">
        <f t="shared" si="167"/>
        <v>114.62</v>
      </c>
      <c r="K265" s="298">
        <f t="shared" si="167"/>
        <v>0</v>
      </c>
      <c r="L265" s="299">
        <f t="shared" si="167"/>
        <v>0</v>
      </c>
      <c r="M265" s="326" t="s">
        <v>291</v>
      </c>
    </row>
    <row r="266" s="263" customFormat="1" ht="26" customHeight="1" spans="1:13">
      <c r="A266" s="300" t="s">
        <v>631</v>
      </c>
      <c r="B266" s="301" t="s">
        <v>632</v>
      </c>
      <c r="C266" s="302"/>
      <c r="D266" s="303">
        <f t="shared" ref="D266:L266" si="168">D267</f>
        <v>1182.1126</v>
      </c>
      <c r="E266" s="304">
        <f t="shared" si="168"/>
        <v>1182.1126</v>
      </c>
      <c r="F266" s="305">
        <f t="shared" si="168"/>
        <v>970.2127</v>
      </c>
      <c r="G266" s="303">
        <f t="shared" si="168"/>
        <v>170.95</v>
      </c>
      <c r="H266" s="304">
        <f t="shared" si="168"/>
        <v>40.9499</v>
      </c>
      <c r="I266" s="327">
        <f t="shared" si="168"/>
        <v>0</v>
      </c>
      <c r="J266" s="303">
        <f t="shared" si="168"/>
        <v>0</v>
      </c>
      <c r="K266" s="304">
        <f t="shared" si="168"/>
        <v>0</v>
      </c>
      <c r="L266" s="305">
        <f t="shared" si="168"/>
        <v>0</v>
      </c>
      <c r="M266" s="328" t="s">
        <v>291</v>
      </c>
    </row>
    <row r="267" s="263" customFormat="1" ht="18.75" customHeight="1" spans="1:13">
      <c r="A267" s="306" t="s">
        <v>298</v>
      </c>
      <c r="B267" s="307" t="s">
        <v>298</v>
      </c>
      <c r="C267" s="308" t="s">
        <v>536</v>
      </c>
      <c r="D267" s="309">
        <f t="shared" si="164"/>
        <v>1182.1126</v>
      </c>
      <c r="E267" s="310">
        <f t="shared" si="165"/>
        <v>1182.1126</v>
      </c>
      <c r="F267" s="311">
        <v>970.2127</v>
      </c>
      <c r="G267" s="309">
        <v>170.95</v>
      </c>
      <c r="H267" s="310">
        <v>40.9499</v>
      </c>
      <c r="I267" s="329">
        <f t="shared" si="166"/>
        <v>0</v>
      </c>
      <c r="J267" s="309">
        <v>0</v>
      </c>
      <c r="K267" s="310">
        <v>0</v>
      </c>
      <c r="L267" s="311">
        <v>0</v>
      </c>
      <c r="M267" s="330" t="s">
        <v>291</v>
      </c>
    </row>
    <row r="268" s="263" customFormat="1" ht="26" customHeight="1" spans="1:13">
      <c r="A268" s="300" t="s">
        <v>633</v>
      </c>
      <c r="B268" s="301" t="s">
        <v>634</v>
      </c>
      <c r="C268" s="302"/>
      <c r="D268" s="303">
        <f t="shared" ref="D268:L268" si="169">D269</f>
        <v>24.5</v>
      </c>
      <c r="E268" s="304">
        <f t="shared" si="169"/>
        <v>0</v>
      </c>
      <c r="F268" s="305">
        <f t="shared" si="169"/>
        <v>0</v>
      </c>
      <c r="G268" s="303">
        <f t="shared" si="169"/>
        <v>0</v>
      </c>
      <c r="H268" s="304">
        <f t="shared" si="169"/>
        <v>0</v>
      </c>
      <c r="I268" s="327">
        <f t="shared" si="169"/>
        <v>24.5</v>
      </c>
      <c r="J268" s="303">
        <f t="shared" si="169"/>
        <v>24.5</v>
      </c>
      <c r="K268" s="304">
        <f t="shared" si="169"/>
        <v>0</v>
      </c>
      <c r="L268" s="305">
        <f t="shared" si="169"/>
        <v>0</v>
      </c>
      <c r="M268" s="328" t="s">
        <v>291</v>
      </c>
    </row>
    <row r="269" s="263" customFormat="1" ht="26" customHeight="1" spans="1:13">
      <c r="A269" s="306" t="s">
        <v>298</v>
      </c>
      <c r="B269" s="307" t="s">
        <v>298</v>
      </c>
      <c r="C269" s="308" t="s">
        <v>536</v>
      </c>
      <c r="D269" s="309">
        <f t="shared" si="164"/>
        <v>24.5</v>
      </c>
      <c r="E269" s="310">
        <f t="shared" si="165"/>
        <v>0</v>
      </c>
      <c r="F269" s="311">
        <v>0</v>
      </c>
      <c r="G269" s="309">
        <v>0</v>
      </c>
      <c r="H269" s="310">
        <v>0</v>
      </c>
      <c r="I269" s="329">
        <f t="shared" si="166"/>
        <v>24.5</v>
      </c>
      <c r="J269" s="309">
        <v>24.5</v>
      </c>
      <c r="K269" s="310">
        <v>0</v>
      </c>
      <c r="L269" s="311">
        <v>0</v>
      </c>
      <c r="M269" s="330" t="s">
        <v>635</v>
      </c>
    </row>
    <row r="270" s="263" customFormat="1" ht="22" customHeight="1" spans="1:13">
      <c r="A270" s="300" t="s">
        <v>636</v>
      </c>
      <c r="B270" s="301" t="s">
        <v>637</v>
      </c>
      <c r="C270" s="302"/>
      <c r="D270" s="303">
        <f t="shared" ref="D270:L270" si="170">D271</f>
        <v>7.2</v>
      </c>
      <c r="E270" s="304">
        <f t="shared" si="170"/>
        <v>0</v>
      </c>
      <c r="F270" s="305">
        <f t="shared" si="170"/>
        <v>0</v>
      </c>
      <c r="G270" s="303">
        <f t="shared" si="170"/>
        <v>0</v>
      </c>
      <c r="H270" s="304">
        <f t="shared" si="170"/>
        <v>0</v>
      </c>
      <c r="I270" s="327">
        <f t="shared" si="170"/>
        <v>7.2</v>
      </c>
      <c r="J270" s="303">
        <f t="shared" si="170"/>
        <v>7.2</v>
      </c>
      <c r="K270" s="304">
        <f t="shared" si="170"/>
        <v>0</v>
      </c>
      <c r="L270" s="305">
        <f t="shared" si="170"/>
        <v>0</v>
      </c>
      <c r="M270" s="328" t="s">
        <v>291</v>
      </c>
    </row>
    <row r="271" s="263" customFormat="1" ht="18.75" customHeight="1" spans="1:13">
      <c r="A271" s="306" t="s">
        <v>298</v>
      </c>
      <c r="B271" s="307" t="s">
        <v>298</v>
      </c>
      <c r="C271" s="308" t="s">
        <v>536</v>
      </c>
      <c r="D271" s="309">
        <f t="shared" ref="D271:D275" si="171">E271+I271</f>
        <v>7.2</v>
      </c>
      <c r="E271" s="310">
        <f t="shared" ref="E271:E275" si="172">SUBTOTAL(9,F271:H271)</f>
        <v>0</v>
      </c>
      <c r="F271" s="311">
        <v>0</v>
      </c>
      <c r="G271" s="309">
        <v>0</v>
      </c>
      <c r="H271" s="310">
        <v>0</v>
      </c>
      <c r="I271" s="329">
        <f t="shared" ref="I271:I275" si="173">SUBTOTAL(9,J271:L271)</f>
        <v>7.2</v>
      </c>
      <c r="J271" s="309">
        <v>7.2</v>
      </c>
      <c r="K271" s="310">
        <v>0</v>
      </c>
      <c r="L271" s="311">
        <v>0</v>
      </c>
      <c r="M271" s="330" t="s">
        <v>638</v>
      </c>
    </row>
    <row r="272" s="263" customFormat="1" ht="22" customHeight="1" spans="1:13">
      <c r="A272" s="300" t="s">
        <v>639</v>
      </c>
      <c r="B272" s="301" t="s">
        <v>640</v>
      </c>
      <c r="C272" s="302"/>
      <c r="D272" s="303">
        <f t="shared" ref="D272:L272" si="174">D273</f>
        <v>27.72</v>
      </c>
      <c r="E272" s="304">
        <f t="shared" si="174"/>
        <v>0</v>
      </c>
      <c r="F272" s="305">
        <f t="shared" si="174"/>
        <v>0</v>
      </c>
      <c r="G272" s="303">
        <f t="shared" si="174"/>
        <v>0</v>
      </c>
      <c r="H272" s="304">
        <f t="shared" si="174"/>
        <v>0</v>
      </c>
      <c r="I272" s="327">
        <f t="shared" si="174"/>
        <v>27.72</v>
      </c>
      <c r="J272" s="303">
        <f t="shared" si="174"/>
        <v>27.72</v>
      </c>
      <c r="K272" s="304">
        <f t="shared" si="174"/>
        <v>0</v>
      </c>
      <c r="L272" s="305">
        <f t="shared" si="174"/>
        <v>0</v>
      </c>
      <c r="M272" s="328" t="s">
        <v>291</v>
      </c>
    </row>
    <row r="273" s="263" customFormat="1" ht="18.75" customHeight="1" spans="1:13">
      <c r="A273" s="306" t="s">
        <v>298</v>
      </c>
      <c r="B273" s="307" t="s">
        <v>298</v>
      </c>
      <c r="C273" s="308" t="s">
        <v>536</v>
      </c>
      <c r="D273" s="309">
        <f t="shared" si="171"/>
        <v>27.72</v>
      </c>
      <c r="E273" s="310">
        <f t="shared" si="172"/>
        <v>0</v>
      </c>
      <c r="F273" s="311">
        <v>0</v>
      </c>
      <c r="G273" s="309">
        <v>0</v>
      </c>
      <c r="H273" s="310">
        <v>0</v>
      </c>
      <c r="I273" s="329">
        <f t="shared" si="173"/>
        <v>27.72</v>
      </c>
      <c r="J273" s="309">
        <v>27.72</v>
      </c>
      <c r="K273" s="310">
        <v>0</v>
      </c>
      <c r="L273" s="311">
        <v>0</v>
      </c>
      <c r="M273" s="330" t="s">
        <v>641</v>
      </c>
    </row>
    <row r="274" s="263" customFormat="1" ht="22" customHeight="1" spans="1:13">
      <c r="A274" s="300" t="s">
        <v>642</v>
      </c>
      <c r="B274" s="301" t="s">
        <v>440</v>
      </c>
      <c r="C274" s="302"/>
      <c r="D274" s="303">
        <f t="shared" ref="D274:L274" si="175">D275</f>
        <v>7.2</v>
      </c>
      <c r="E274" s="304">
        <f t="shared" si="175"/>
        <v>0</v>
      </c>
      <c r="F274" s="305">
        <f t="shared" si="175"/>
        <v>0</v>
      </c>
      <c r="G274" s="303">
        <f t="shared" si="175"/>
        <v>0</v>
      </c>
      <c r="H274" s="304">
        <f t="shared" si="175"/>
        <v>0</v>
      </c>
      <c r="I274" s="327">
        <f t="shared" si="175"/>
        <v>7.2</v>
      </c>
      <c r="J274" s="303">
        <f t="shared" si="175"/>
        <v>7.2</v>
      </c>
      <c r="K274" s="304">
        <f t="shared" si="175"/>
        <v>0</v>
      </c>
      <c r="L274" s="305">
        <f t="shared" si="175"/>
        <v>0</v>
      </c>
      <c r="M274" s="328" t="s">
        <v>291</v>
      </c>
    </row>
    <row r="275" s="263" customFormat="1" ht="18.75" customHeight="1" spans="1:13">
      <c r="A275" s="306" t="s">
        <v>298</v>
      </c>
      <c r="B275" s="307" t="s">
        <v>298</v>
      </c>
      <c r="C275" s="308" t="s">
        <v>536</v>
      </c>
      <c r="D275" s="309">
        <f t="shared" si="171"/>
        <v>7.2</v>
      </c>
      <c r="E275" s="310">
        <f t="shared" si="172"/>
        <v>0</v>
      </c>
      <c r="F275" s="311">
        <v>0</v>
      </c>
      <c r="G275" s="309">
        <v>0</v>
      </c>
      <c r="H275" s="310">
        <v>0</v>
      </c>
      <c r="I275" s="329">
        <f t="shared" si="173"/>
        <v>7.2</v>
      </c>
      <c r="J275" s="309">
        <v>7.2</v>
      </c>
      <c r="K275" s="310">
        <v>0</v>
      </c>
      <c r="L275" s="311">
        <v>0</v>
      </c>
      <c r="M275" s="330" t="s">
        <v>643</v>
      </c>
    </row>
    <row r="276" s="263" customFormat="1" ht="22" customHeight="1" spans="1:13">
      <c r="A276" s="300" t="s">
        <v>644</v>
      </c>
      <c r="B276" s="301" t="s">
        <v>645</v>
      </c>
      <c r="C276" s="302"/>
      <c r="D276" s="303">
        <f t="shared" ref="D276:L276" si="176">D277</f>
        <v>19.2</v>
      </c>
      <c r="E276" s="304">
        <f t="shared" si="176"/>
        <v>0</v>
      </c>
      <c r="F276" s="305">
        <f t="shared" si="176"/>
        <v>0</v>
      </c>
      <c r="G276" s="303">
        <f t="shared" si="176"/>
        <v>0</v>
      </c>
      <c r="H276" s="304">
        <f t="shared" si="176"/>
        <v>0</v>
      </c>
      <c r="I276" s="327">
        <f t="shared" si="176"/>
        <v>19.2</v>
      </c>
      <c r="J276" s="303">
        <f t="shared" si="176"/>
        <v>19.2</v>
      </c>
      <c r="K276" s="304">
        <f t="shared" si="176"/>
        <v>0</v>
      </c>
      <c r="L276" s="305">
        <f t="shared" si="176"/>
        <v>0</v>
      </c>
      <c r="M276" s="328" t="s">
        <v>291</v>
      </c>
    </row>
    <row r="277" s="263" customFormat="1" ht="18.75" customHeight="1" spans="1:13">
      <c r="A277" s="306" t="s">
        <v>298</v>
      </c>
      <c r="B277" s="307" t="s">
        <v>298</v>
      </c>
      <c r="C277" s="308" t="s">
        <v>536</v>
      </c>
      <c r="D277" s="309">
        <f t="shared" ref="D277:D281" si="177">E277+I277</f>
        <v>19.2</v>
      </c>
      <c r="E277" s="310">
        <f t="shared" ref="E277:E281" si="178">SUBTOTAL(9,F277:H277)</f>
        <v>0</v>
      </c>
      <c r="F277" s="311">
        <v>0</v>
      </c>
      <c r="G277" s="309">
        <v>0</v>
      </c>
      <c r="H277" s="310">
        <v>0</v>
      </c>
      <c r="I277" s="329">
        <f t="shared" ref="I277:I281" si="179">SUBTOTAL(9,J277:L277)</f>
        <v>19.2</v>
      </c>
      <c r="J277" s="309">
        <v>19.2</v>
      </c>
      <c r="K277" s="310">
        <v>0</v>
      </c>
      <c r="L277" s="311">
        <v>0</v>
      </c>
      <c r="M277" s="330" t="s">
        <v>646</v>
      </c>
    </row>
    <row r="278" s="263" customFormat="1" ht="22" customHeight="1" spans="1:13">
      <c r="A278" s="300" t="s">
        <v>647</v>
      </c>
      <c r="B278" s="301" t="s">
        <v>648</v>
      </c>
      <c r="C278" s="302"/>
      <c r="D278" s="303">
        <f t="shared" ref="D278:L278" si="180">D279</f>
        <v>3.6</v>
      </c>
      <c r="E278" s="304">
        <f t="shared" si="180"/>
        <v>0</v>
      </c>
      <c r="F278" s="305">
        <f t="shared" si="180"/>
        <v>0</v>
      </c>
      <c r="G278" s="303">
        <f t="shared" si="180"/>
        <v>0</v>
      </c>
      <c r="H278" s="304">
        <f t="shared" si="180"/>
        <v>0</v>
      </c>
      <c r="I278" s="327">
        <f t="shared" si="180"/>
        <v>3.6</v>
      </c>
      <c r="J278" s="303">
        <f t="shared" si="180"/>
        <v>3.6</v>
      </c>
      <c r="K278" s="304">
        <f t="shared" si="180"/>
        <v>0</v>
      </c>
      <c r="L278" s="305">
        <f t="shared" si="180"/>
        <v>0</v>
      </c>
      <c r="M278" s="328" t="s">
        <v>291</v>
      </c>
    </row>
    <row r="279" s="263" customFormat="1" ht="18.75" customHeight="1" spans="1:13">
      <c r="A279" s="306" t="s">
        <v>298</v>
      </c>
      <c r="B279" s="307" t="s">
        <v>298</v>
      </c>
      <c r="C279" s="308" t="s">
        <v>536</v>
      </c>
      <c r="D279" s="309">
        <f t="shared" si="177"/>
        <v>3.6</v>
      </c>
      <c r="E279" s="310">
        <f t="shared" si="178"/>
        <v>0</v>
      </c>
      <c r="F279" s="311">
        <v>0</v>
      </c>
      <c r="G279" s="309">
        <v>0</v>
      </c>
      <c r="H279" s="310">
        <v>0</v>
      </c>
      <c r="I279" s="329">
        <f t="shared" si="179"/>
        <v>3.6</v>
      </c>
      <c r="J279" s="309">
        <v>3.6</v>
      </c>
      <c r="K279" s="310">
        <v>0</v>
      </c>
      <c r="L279" s="311">
        <v>0</v>
      </c>
      <c r="M279" s="330" t="s">
        <v>649</v>
      </c>
    </row>
    <row r="280" s="263" customFormat="1" ht="22" customHeight="1" spans="1:13">
      <c r="A280" s="300" t="s">
        <v>650</v>
      </c>
      <c r="B280" s="301" t="s">
        <v>651</v>
      </c>
      <c r="C280" s="302"/>
      <c r="D280" s="303">
        <f t="shared" ref="D280:L280" si="181">D281</f>
        <v>3.6</v>
      </c>
      <c r="E280" s="304">
        <f t="shared" si="181"/>
        <v>0</v>
      </c>
      <c r="F280" s="305">
        <f t="shared" si="181"/>
        <v>0</v>
      </c>
      <c r="G280" s="303">
        <f t="shared" si="181"/>
        <v>0</v>
      </c>
      <c r="H280" s="304">
        <f t="shared" si="181"/>
        <v>0</v>
      </c>
      <c r="I280" s="327">
        <f t="shared" si="181"/>
        <v>3.6</v>
      </c>
      <c r="J280" s="303">
        <f t="shared" si="181"/>
        <v>3.6</v>
      </c>
      <c r="K280" s="304">
        <f t="shared" si="181"/>
        <v>0</v>
      </c>
      <c r="L280" s="305">
        <f t="shared" si="181"/>
        <v>0</v>
      </c>
      <c r="M280" s="328" t="s">
        <v>291</v>
      </c>
    </row>
    <row r="281" s="263" customFormat="1" ht="18.75" customHeight="1" spans="1:13">
      <c r="A281" s="306" t="s">
        <v>298</v>
      </c>
      <c r="B281" s="307" t="s">
        <v>298</v>
      </c>
      <c r="C281" s="308" t="s">
        <v>536</v>
      </c>
      <c r="D281" s="309">
        <f t="shared" si="177"/>
        <v>3.6</v>
      </c>
      <c r="E281" s="310">
        <f t="shared" si="178"/>
        <v>0</v>
      </c>
      <c r="F281" s="311">
        <v>0</v>
      </c>
      <c r="G281" s="309">
        <v>0</v>
      </c>
      <c r="H281" s="310">
        <v>0</v>
      </c>
      <c r="I281" s="329">
        <f t="shared" si="179"/>
        <v>3.6</v>
      </c>
      <c r="J281" s="309">
        <v>3.6</v>
      </c>
      <c r="K281" s="310">
        <v>0</v>
      </c>
      <c r="L281" s="311">
        <v>0</v>
      </c>
      <c r="M281" s="330" t="s">
        <v>652</v>
      </c>
    </row>
    <row r="282" s="263" customFormat="1" ht="22" customHeight="1" spans="1:13">
      <c r="A282" s="300" t="s">
        <v>653</v>
      </c>
      <c r="B282" s="301" t="s">
        <v>654</v>
      </c>
      <c r="C282" s="302"/>
      <c r="D282" s="303">
        <f t="shared" ref="D282:L282" si="182">D283</f>
        <v>3.6</v>
      </c>
      <c r="E282" s="304">
        <f t="shared" si="182"/>
        <v>0</v>
      </c>
      <c r="F282" s="305">
        <f t="shared" si="182"/>
        <v>0</v>
      </c>
      <c r="G282" s="303">
        <f t="shared" si="182"/>
        <v>0</v>
      </c>
      <c r="H282" s="304">
        <f t="shared" si="182"/>
        <v>0</v>
      </c>
      <c r="I282" s="327">
        <f t="shared" si="182"/>
        <v>3.6</v>
      </c>
      <c r="J282" s="303">
        <f t="shared" si="182"/>
        <v>3.6</v>
      </c>
      <c r="K282" s="304">
        <f t="shared" si="182"/>
        <v>0</v>
      </c>
      <c r="L282" s="305">
        <f t="shared" si="182"/>
        <v>0</v>
      </c>
      <c r="M282" s="328" t="s">
        <v>291</v>
      </c>
    </row>
    <row r="283" s="263" customFormat="1" ht="18.75" customHeight="1" spans="1:13">
      <c r="A283" s="306" t="s">
        <v>298</v>
      </c>
      <c r="B283" s="307" t="s">
        <v>298</v>
      </c>
      <c r="C283" s="308" t="s">
        <v>536</v>
      </c>
      <c r="D283" s="309">
        <f t="shared" ref="D283:D288" si="183">E283+I283</f>
        <v>3.6</v>
      </c>
      <c r="E283" s="310">
        <f t="shared" ref="E283:E288" si="184">SUBTOTAL(9,F283:H283)</f>
        <v>0</v>
      </c>
      <c r="F283" s="311">
        <v>0</v>
      </c>
      <c r="G283" s="309">
        <v>0</v>
      </c>
      <c r="H283" s="310">
        <v>0</v>
      </c>
      <c r="I283" s="329">
        <f t="shared" ref="I283:I288" si="185">SUBTOTAL(9,J283:L283)</f>
        <v>3.6</v>
      </c>
      <c r="J283" s="309">
        <v>3.6</v>
      </c>
      <c r="K283" s="310">
        <v>0</v>
      </c>
      <c r="L283" s="311">
        <v>0</v>
      </c>
      <c r="M283" s="330" t="s">
        <v>655</v>
      </c>
    </row>
    <row r="284" s="263" customFormat="1" ht="22" customHeight="1" spans="1:13">
      <c r="A284" s="300" t="s">
        <v>656</v>
      </c>
      <c r="B284" s="301" t="s">
        <v>657</v>
      </c>
      <c r="C284" s="302"/>
      <c r="D284" s="303">
        <f t="shared" ref="D284:L284" si="186">D285</f>
        <v>18</v>
      </c>
      <c r="E284" s="304">
        <f t="shared" si="186"/>
        <v>0</v>
      </c>
      <c r="F284" s="305">
        <f t="shared" si="186"/>
        <v>0</v>
      </c>
      <c r="G284" s="303">
        <f t="shared" si="186"/>
        <v>0</v>
      </c>
      <c r="H284" s="304">
        <f t="shared" si="186"/>
        <v>0</v>
      </c>
      <c r="I284" s="327">
        <f t="shared" si="186"/>
        <v>18</v>
      </c>
      <c r="J284" s="303">
        <f t="shared" si="186"/>
        <v>18</v>
      </c>
      <c r="K284" s="304">
        <f t="shared" si="186"/>
        <v>0</v>
      </c>
      <c r="L284" s="305">
        <f t="shared" si="186"/>
        <v>0</v>
      </c>
      <c r="M284" s="328" t="s">
        <v>291</v>
      </c>
    </row>
    <row r="285" s="263" customFormat="1" ht="18.75" customHeight="1" spans="1:13">
      <c r="A285" s="306" t="s">
        <v>298</v>
      </c>
      <c r="B285" s="307" t="s">
        <v>298</v>
      </c>
      <c r="C285" s="308" t="s">
        <v>536</v>
      </c>
      <c r="D285" s="309">
        <f t="shared" si="183"/>
        <v>18</v>
      </c>
      <c r="E285" s="310">
        <f t="shared" si="184"/>
        <v>0</v>
      </c>
      <c r="F285" s="311">
        <v>0</v>
      </c>
      <c r="G285" s="309">
        <v>0</v>
      </c>
      <c r="H285" s="310">
        <v>0</v>
      </c>
      <c r="I285" s="329">
        <f t="shared" si="185"/>
        <v>18</v>
      </c>
      <c r="J285" s="309">
        <v>18</v>
      </c>
      <c r="K285" s="310">
        <v>0</v>
      </c>
      <c r="L285" s="311">
        <v>0</v>
      </c>
      <c r="M285" s="330" t="s">
        <v>658</v>
      </c>
    </row>
    <row r="286" s="263" customFormat="1" ht="21" customHeight="1" spans="1:13">
      <c r="A286" s="294" t="s">
        <v>659</v>
      </c>
      <c r="B286" s="295" t="s">
        <v>660</v>
      </c>
      <c r="C286" s="296"/>
      <c r="D286" s="297">
        <f t="shared" ref="D286:L286" si="187">D287</f>
        <v>180</v>
      </c>
      <c r="E286" s="298">
        <f t="shared" si="187"/>
        <v>0</v>
      </c>
      <c r="F286" s="299">
        <f t="shared" si="187"/>
        <v>0</v>
      </c>
      <c r="G286" s="297">
        <f t="shared" si="187"/>
        <v>0</v>
      </c>
      <c r="H286" s="298">
        <f t="shared" si="187"/>
        <v>0</v>
      </c>
      <c r="I286" s="325">
        <f t="shared" si="187"/>
        <v>180</v>
      </c>
      <c r="J286" s="297">
        <f t="shared" si="187"/>
        <v>180</v>
      </c>
      <c r="K286" s="298">
        <f t="shared" si="187"/>
        <v>0</v>
      </c>
      <c r="L286" s="299">
        <f t="shared" si="187"/>
        <v>0</v>
      </c>
      <c r="M286" s="326" t="s">
        <v>291</v>
      </c>
    </row>
    <row r="287" s="263" customFormat="1" ht="31" customHeight="1" spans="1:13">
      <c r="A287" s="300" t="s">
        <v>661</v>
      </c>
      <c r="B287" s="301" t="s">
        <v>662</v>
      </c>
      <c r="C287" s="302"/>
      <c r="D287" s="303">
        <f t="shared" ref="D287:L287" si="188">D288</f>
        <v>180</v>
      </c>
      <c r="E287" s="304">
        <f t="shared" si="188"/>
        <v>0</v>
      </c>
      <c r="F287" s="305">
        <f t="shared" si="188"/>
        <v>0</v>
      </c>
      <c r="G287" s="303">
        <f t="shared" si="188"/>
        <v>0</v>
      </c>
      <c r="H287" s="304">
        <f t="shared" si="188"/>
        <v>0</v>
      </c>
      <c r="I287" s="327">
        <f t="shared" si="188"/>
        <v>180</v>
      </c>
      <c r="J287" s="303">
        <f t="shared" si="188"/>
        <v>180</v>
      </c>
      <c r="K287" s="304">
        <f t="shared" si="188"/>
        <v>0</v>
      </c>
      <c r="L287" s="305">
        <f t="shared" si="188"/>
        <v>0</v>
      </c>
      <c r="M287" s="328" t="s">
        <v>291</v>
      </c>
    </row>
    <row r="288" s="263" customFormat="1" ht="26" customHeight="1" spans="1:13">
      <c r="A288" s="306" t="s">
        <v>298</v>
      </c>
      <c r="B288" s="307" t="s">
        <v>298</v>
      </c>
      <c r="C288" s="308" t="s">
        <v>361</v>
      </c>
      <c r="D288" s="309">
        <f t="shared" si="183"/>
        <v>180</v>
      </c>
      <c r="E288" s="310">
        <f t="shared" si="184"/>
        <v>0</v>
      </c>
      <c r="F288" s="311">
        <v>0</v>
      </c>
      <c r="G288" s="309">
        <v>0</v>
      </c>
      <c r="H288" s="310">
        <v>0</v>
      </c>
      <c r="I288" s="329">
        <f t="shared" si="185"/>
        <v>180</v>
      </c>
      <c r="J288" s="309">
        <v>180</v>
      </c>
      <c r="K288" s="310">
        <v>0</v>
      </c>
      <c r="L288" s="311">
        <v>0</v>
      </c>
      <c r="M288" s="330" t="s">
        <v>663</v>
      </c>
    </row>
    <row r="289" s="263" customFormat="1" ht="18.75" customHeight="1" spans="1:13">
      <c r="A289" s="288" t="s">
        <v>664</v>
      </c>
      <c r="B289" s="289" t="s">
        <v>665</v>
      </c>
      <c r="C289" s="290"/>
      <c r="D289" s="291">
        <f t="shared" ref="D289:L289" si="189">D290+D299</f>
        <v>222.34</v>
      </c>
      <c r="E289" s="292">
        <f t="shared" si="189"/>
        <v>0</v>
      </c>
      <c r="F289" s="293">
        <f t="shared" si="189"/>
        <v>0</v>
      </c>
      <c r="G289" s="291">
        <f t="shared" si="189"/>
        <v>0</v>
      </c>
      <c r="H289" s="292">
        <f t="shared" si="189"/>
        <v>0</v>
      </c>
      <c r="I289" s="323">
        <f t="shared" si="189"/>
        <v>222.34</v>
      </c>
      <c r="J289" s="291">
        <f t="shared" si="189"/>
        <v>222.34</v>
      </c>
      <c r="K289" s="292">
        <f t="shared" si="189"/>
        <v>0</v>
      </c>
      <c r="L289" s="293">
        <f t="shared" si="189"/>
        <v>0</v>
      </c>
      <c r="M289" s="324" t="s">
        <v>291</v>
      </c>
    </row>
    <row r="290" s="263" customFormat="1" ht="22" customHeight="1" spans="1:13">
      <c r="A290" s="294" t="s">
        <v>666</v>
      </c>
      <c r="B290" s="295" t="s">
        <v>667</v>
      </c>
      <c r="C290" s="296"/>
      <c r="D290" s="297">
        <f t="shared" ref="D290:L290" si="190">D291+D293+D295+D297</f>
        <v>204.34</v>
      </c>
      <c r="E290" s="298">
        <f t="shared" si="190"/>
        <v>0</v>
      </c>
      <c r="F290" s="299">
        <f t="shared" si="190"/>
        <v>0</v>
      </c>
      <c r="G290" s="297">
        <f t="shared" si="190"/>
        <v>0</v>
      </c>
      <c r="H290" s="298">
        <f t="shared" si="190"/>
        <v>0</v>
      </c>
      <c r="I290" s="325">
        <f t="shared" si="190"/>
        <v>204.34</v>
      </c>
      <c r="J290" s="297">
        <f t="shared" si="190"/>
        <v>204.34</v>
      </c>
      <c r="K290" s="298">
        <f t="shared" si="190"/>
        <v>0</v>
      </c>
      <c r="L290" s="299">
        <f t="shared" si="190"/>
        <v>0</v>
      </c>
      <c r="M290" s="326" t="s">
        <v>291</v>
      </c>
    </row>
    <row r="291" s="263" customFormat="1" ht="22" customHeight="1" spans="1:13">
      <c r="A291" s="300" t="s">
        <v>668</v>
      </c>
      <c r="B291" s="301" t="s">
        <v>669</v>
      </c>
      <c r="C291" s="302"/>
      <c r="D291" s="303">
        <f t="shared" ref="D291:L291" si="191">D292</f>
        <v>9</v>
      </c>
      <c r="E291" s="304">
        <f t="shared" si="191"/>
        <v>0</v>
      </c>
      <c r="F291" s="305">
        <f t="shared" si="191"/>
        <v>0</v>
      </c>
      <c r="G291" s="303">
        <f t="shared" si="191"/>
        <v>0</v>
      </c>
      <c r="H291" s="304">
        <f t="shared" si="191"/>
        <v>0</v>
      </c>
      <c r="I291" s="327">
        <f t="shared" si="191"/>
        <v>9</v>
      </c>
      <c r="J291" s="303">
        <f t="shared" si="191"/>
        <v>9</v>
      </c>
      <c r="K291" s="304">
        <f t="shared" si="191"/>
        <v>0</v>
      </c>
      <c r="L291" s="305">
        <f t="shared" si="191"/>
        <v>0</v>
      </c>
      <c r="M291" s="328" t="s">
        <v>291</v>
      </c>
    </row>
    <row r="292" s="263" customFormat="1" ht="18.75" customHeight="1" spans="1:13">
      <c r="A292" s="306" t="s">
        <v>298</v>
      </c>
      <c r="B292" s="307" t="s">
        <v>298</v>
      </c>
      <c r="C292" s="308" t="s">
        <v>374</v>
      </c>
      <c r="D292" s="309">
        <f t="shared" ref="D292:D296" si="192">E292+I292</f>
        <v>9</v>
      </c>
      <c r="E292" s="310">
        <f t="shared" ref="E292:E296" si="193">SUBTOTAL(9,F292:H292)</f>
        <v>0</v>
      </c>
      <c r="F292" s="311">
        <v>0</v>
      </c>
      <c r="G292" s="309">
        <v>0</v>
      </c>
      <c r="H292" s="310">
        <v>0</v>
      </c>
      <c r="I292" s="329">
        <f t="shared" ref="I292:I296" si="194">SUBTOTAL(9,J292:L292)</f>
        <v>9</v>
      </c>
      <c r="J292" s="309">
        <v>9</v>
      </c>
      <c r="K292" s="310">
        <v>0</v>
      </c>
      <c r="L292" s="311">
        <v>0</v>
      </c>
      <c r="M292" s="330" t="s">
        <v>670</v>
      </c>
    </row>
    <row r="293" s="263" customFormat="1" ht="22" customHeight="1" spans="1:13">
      <c r="A293" s="300" t="s">
        <v>671</v>
      </c>
      <c r="B293" s="301" t="s">
        <v>672</v>
      </c>
      <c r="C293" s="302"/>
      <c r="D293" s="303">
        <f t="shared" ref="D293:L293" si="195">D294</f>
        <v>22</v>
      </c>
      <c r="E293" s="304">
        <f t="shared" si="195"/>
        <v>0</v>
      </c>
      <c r="F293" s="305">
        <f t="shared" si="195"/>
        <v>0</v>
      </c>
      <c r="G293" s="303">
        <f t="shared" si="195"/>
        <v>0</v>
      </c>
      <c r="H293" s="304">
        <f t="shared" si="195"/>
        <v>0</v>
      </c>
      <c r="I293" s="327">
        <f t="shared" si="195"/>
        <v>22</v>
      </c>
      <c r="J293" s="303">
        <f t="shared" si="195"/>
        <v>22</v>
      </c>
      <c r="K293" s="304">
        <f t="shared" si="195"/>
        <v>0</v>
      </c>
      <c r="L293" s="305">
        <f t="shared" si="195"/>
        <v>0</v>
      </c>
      <c r="M293" s="328" t="s">
        <v>291</v>
      </c>
    </row>
    <row r="294" s="263" customFormat="1" ht="63" customHeight="1" spans="1:13">
      <c r="A294" s="306" t="s">
        <v>298</v>
      </c>
      <c r="B294" s="307" t="s">
        <v>298</v>
      </c>
      <c r="C294" s="308" t="s">
        <v>546</v>
      </c>
      <c r="D294" s="309">
        <f t="shared" si="192"/>
        <v>22</v>
      </c>
      <c r="E294" s="310">
        <f t="shared" si="193"/>
        <v>0</v>
      </c>
      <c r="F294" s="311">
        <v>0</v>
      </c>
      <c r="G294" s="309">
        <v>0</v>
      </c>
      <c r="H294" s="310">
        <v>0</v>
      </c>
      <c r="I294" s="329">
        <f t="shared" si="194"/>
        <v>22</v>
      </c>
      <c r="J294" s="309">
        <v>22</v>
      </c>
      <c r="K294" s="310">
        <v>0</v>
      </c>
      <c r="L294" s="311">
        <v>0</v>
      </c>
      <c r="M294" s="330" t="s">
        <v>673</v>
      </c>
    </row>
    <row r="295" s="263" customFormat="1" ht="22" customHeight="1" spans="1:13">
      <c r="A295" s="300" t="s">
        <v>674</v>
      </c>
      <c r="B295" s="301" t="s">
        <v>675</v>
      </c>
      <c r="C295" s="302"/>
      <c r="D295" s="303">
        <f t="shared" ref="D295:L295" si="196">D296</f>
        <v>170.74</v>
      </c>
      <c r="E295" s="304">
        <f t="shared" si="196"/>
        <v>0</v>
      </c>
      <c r="F295" s="305">
        <f t="shared" si="196"/>
        <v>0</v>
      </c>
      <c r="G295" s="303">
        <f t="shared" si="196"/>
        <v>0</v>
      </c>
      <c r="H295" s="304">
        <f t="shared" si="196"/>
        <v>0</v>
      </c>
      <c r="I295" s="327">
        <f t="shared" si="196"/>
        <v>170.74</v>
      </c>
      <c r="J295" s="303">
        <f t="shared" si="196"/>
        <v>170.74</v>
      </c>
      <c r="K295" s="304">
        <f t="shared" si="196"/>
        <v>0</v>
      </c>
      <c r="L295" s="305">
        <f t="shared" si="196"/>
        <v>0</v>
      </c>
      <c r="M295" s="328" t="s">
        <v>291</v>
      </c>
    </row>
    <row r="296" s="263" customFormat="1" ht="59" customHeight="1" spans="1:13">
      <c r="A296" s="306" t="s">
        <v>298</v>
      </c>
      <c r="B296" s="307" t="s">
        <v>298</v>
      </c>
      <c r="C296" s="308" t="s">
        <v>374</v>
      </c>
      <c r="D296" s="309">
        <f t="shared" si="192"/>
        <v>170.74</v>
      </c>
      <c r="E296" s="310">
        <f t="shared" si="193"/>
        <v>0</v>
      </c>
      <c r="F296" s="311">
        <v>0</v>
      </c>
      <c r="G296" s="309">
        <v>0</v>
      </c>
      <c r="H296" s="310">
        <v>0</v>
      </c>
      <c r="I296" s="329">
        <f t="shared" si="194"/>
        <v>170.74</v>
      </c>
      <c r="J296" s="309">
        <v>170.74</v>
      </c>
      <c r="K296" s="310">
        <v>0</v>
      </c>
      <c r="L296" s="311">
        <v>0</v>
      </c>
      <c r="M296" s="330" t="s">
        <v>676</v>
      </c>
    </row>
    <row r="297" s="263" customFormat="1" ht="22" customHeight="1" spans="1:13">
      <c r="A297" s="300" t="s">
        <v>677</v>
      </c>
      <c r="B297" s="301" t="s">
        <v>678</v>
      </c>
      <c r="C297" s="302"/>
      <c r="D297" s="303">
        <f t="shared" ref="D297:L297" si="197">D298</f>
        <v>2.6</v>
      </c>
      <c r="E297" s="304">
        <f t="shared" si="197"/>
        <v>0</v>
      </c>
      <c r="F297" s="305">
        <f t="shared" si="197"/>
        <v>0</v>
      </c>
      <c r="G297" s="303">
        <f t="shared" si="197"/>
        <v>0</v>
      </c>
      <c r="H297" s="304">
        <f t="shared" si="197"/>
        <v>0</v>
      </c>
      <c r="I297" s="327">
        <f t="shared" si="197"/>
        <v>2.6</v>
      </c>
      <c r="J297" s="303">
        <f t="shared" si="197"/>
        <v>2.6</v>
      </c>
      <c r="K297" s="304">
        <f t="shared" si="197"/>
        <v>0</v>
      </c>
      <c r="L297" s="305">
        <f t="shared" si="197"/>
        <v>0</v>
      </c>
      <c r="M297" s="328" t="s">
        <v>291</v>
      </c>
    </row>
    <row r="298" s="263" customFormat="1" ht="18.75" customHeight="1" spans="1:13">
      <c r="A298" s="306" t="s">
        <v>298</v>
      </c>
      <c r="B298" s="307" t="s">
        <v>298</v>
      </c>
      <c r="C298" s="308" t="s">
        <v>374</v>
      </c>
      <c r="D298" s="309">
        <f>E298+I298</f>
        <v>2.6</v>
      </c>
      <c r="E298" s="310">
        <f>SUBTOTAL(9,F298:H298)</f>
        <v>0</v>
      </c>
      <c r="F298" s="311">
        <v>0</v>
      </c>
      <c r="G298" s="309">
        <v>0</v>
      </c>
      <c r="H298" s="310">
        <v>0</v>
      </c>
      <c r="I298" s="329">
        <f>SUBTOTAL(9,J298:L298)</f>
        <v>2.6</v>
      </c>
      <c r="J298" s="309">
        <v>2.6</v>
      </c>
      <c r="K298" s="310">
        <v>0</v>
      </c>
      <c r="L298" s="311">
        <v>0</v>
      </c>
      <c r="M298" s="330" t="s">
        <v>679</v>
      </c>
    </row>
    <row r="299" s="263" customFormat="1" ht="18.75" customHeight="1" spans="1:13">
      <c r="A299" s="294" t="s">
        <v>680</v>
      </c>
      <c r="B299" s="295" t="s">
        <v>681</v>
      </c>
      <c r="C299" s="296"/>
      <c r="D299" s="297">
        <f t="shared" ref="D299:L299" si="198">D300</f>
        <v>18</v>
      </c>
      <c r="E299" s="298">
        <f t="shared" si="198"/>
        <v>0</v>
      </c>
      <c r="F299" s="299">
        <f t="shared" si="198"/>
        <v>0</v>
      </c>
      <c r="G299" s="297">
        <f t="shared" si="198"/>
        <v>0</v>
      </c>
      <c r="H299" s="298">
        <f t="shared" si="198"/>
        <v>0</v>
      </c>
      <c r="I299" s="325">
        <f t="shared" si="198"/>
        <v>18</v>
      </c>
      <c r="J299" s="297">
        <f t="shared" si="198"/>
        <v>18</v>
      </c>
      <c r="K299" s="298">
        <f t="shared" si="198"/>
        <v>0</v>
      </c>
      <c r="L299" s="299">
        <f t="shared" si="198"/>
        <v>0</v>
      </c>
      <c r="M299" s="326" t="s">
        <v>291</v>
      </c>
    </row>
    <row r="300" s="263" customFormat="1" ht="22" customHeight="1" spans="1:13">
      <c r="A300" s="300" t="s">
        <v>682</v>
      </c>
      <c r="B300" s="301" t="s">
        <v>683</v>
      </c>
      <c r="C300" s="302"/>
      <c r="D300" s="303">
        <f t="shared" ref="D300:L300" si="199">D301</f>
        <v>18</v>
      </c>
      <c r="E300" s="304">
        <f t="shared" si="199"/>
        <v>0</v>
      </c>
      <c r="F300" s="305">
        <f t="shared" si="199"/>
        <v>0</v>
      </c>
      <c r="G300" s="303">
        <f t="shared" si="199"/>
        <v>0</v>
      </c>
      <c r="H300" s="304">
        <f t="shared" si="199"/>
        <v>0</v>
      </c>
      <c r="I300" s="327">
        <f t="shared" si="199"/>
        <v>18</v>
      </c>
      <c r="J300" s="303">
        <f t="shared" si="199"/>
        <v>18</v>
      </c>
      <c r="K300" s="304">
        <f t="shared" si="199"/>
        <v>0</v>
      </c>
      <c r="L300" s="305">
        <f t="shared" si="199"/>
        <v>0</v>
      </c>
      <c r="M300" s="328" t="s">
        <v>291</v>
      </c>
    </row>
    <row r="301" s="263" customFormat="1" ht="31" customHeight="1" spans="1:13">
      <c r="A301" s="306" t="s">
        <v>298</v>
      </c>
      <c r="B301" s="307" t="s">
        <v>298</v>
      </c>
      <c r="C301" s="308" t="s">
        <v>374</v>
      </c>
      <c r="D301" s="309">
        <f>E301+I301</f>
        <v>18</v>
      </c>
      <c r="E301" s="310">
        <f>SUBTOTAL(9,F301:H301)</f>
        <v>0</v>
      </c>
      <c r="F301" s="311">
        <v>0</v>
      </c>
      <c r="G301" s="309">
        <v>0</v>
      </c>
      <c r="H301" s="310">
        <v>0</v>
      </c>
      <c r="I301" s="329">
        <f>SUBTOTAL(9,J301:L301)</f>
        <v>18</v>
      </c>
      <c r="J301" s="309">
        <v>18</v>
      </c>
      <c r="K301" s="310">
        <v>0</v>
      </c>
      <c r="L301" s="311">
        <v>0</v>
      </c>
      <c r="M301" s="330" t="s">
        <v>684</v>
      </c>
    </row>
    <row r="302" s="263" customFormat="1" ht="18.75" customHeight="1" spans="1:13">
      <c r="A302" s="288" t="s">
        <v>685</v>
      </c>
      <c r="B302" s="289" t="s">
        <v>686</v>
      </c>
      <c r="C302" s="290"/>
      <c r="D302" s="291">
        <f t="shared" ref="D302:L302" si="200">D303+D306+D317+D326+D335+D350</f>
        <v>9844.8518</v>
      </c>
      <c r="E302" s="292">
        <f t="shared" si="200"/>
        <v>6646.11</v>
      </c>
      <c r="F302" s="293">
        <f t="shared" si="200"/>
        <v>5729.4372</v>
      </c>
      <c r="G302" s="291">
        <f t="shared" si="200"/>
        <v>788.926</v>
      </c>
      <c r="H302" s="292">
        <f t="shared" si="200"/>
        <v>127.7468</v>
      </c>
      <c r="I302" s="323">
        <f t="shared" si="200"/>
        <v>3198.7418</v>
      </c>
      <c r="J302" s="291">
        <f t="shared" si="200"/>
        <v>1272.73</v>
      </c>
      <c r="K302" s="292">
        <f t="shared" si="200"/>
        <v>20.3118</v>
      </c>
      <c r="L302" s="293">
        <f t="shared" si="200"/>
        <v>1905.7</v>
      </c>
      <c r="M302" s="324" t="s">
        <v>291</v>
      </c>
    </row>
    <row r="303" s="263" customFormat="1" ht="18.75" customHeight="1" spans="1:13">
      <c r="A303" s="294" t="s">
        <v>687</v>
      </c>
      <c r="B303" s="295" t="s">
        <v>688</v>
      </c>
      <c r="C303" s="296"/>
      <c r="D303" s="297">
        <f t="shared" ref="D303:L303" si="201">D304</f>
        <v>25.89</v>
      </c>
      <c r="E303" s="298">
        <f t="shared" si="201"/>
        <v>0</v>
      </c>
      <c r="F303" s="299">
        <f t="shared" si="201"/>
        <v>0</v>
      </c>
      <c r="G303" s="297">
        <f t="shared" si="201"/>
        <v>0</v>
      </c>
      <c r="H303" s="298">
        <f t="shared" si="201"/>
        <v>0</v>
      </c>
      <c r="I303" s="325">
        <f t="shared" si="201"/>
        <v>25.89</v>
      </c>
      <c r="J303" s="297">
        <f t="shared" si="201"/>
        <v>25.89</v>
      </c>
      <c r="K303" s="298">
        <f t="shared" si="201"/>
        <v>0</v>
      </c>
      <c r="L303" s="299">
        <f t="shared" si="201"/>
        <v>0</v>
      </c>
      <c r="M303" s="326" t="s">
        <v>291</v>
      </c>
    </row>
    <row r="304" s="263" customFormat="1" ht="22" customHeight="1" spans="1:13">
      <c r="A304" s="300" t="s">
        <v>689</v>
      </c>
      <c r="B304" s="301" t="s">
        <v>690</v>
      </c>
      <c r="C304" s="302"/>
      <c r="D304" s="303">
        <f t="shared" ref="D304:L304" si="202">D305</f>
        <v>25.89</v>
      </c>
      <c r="E304" s="304">
        <f t="shared" si="202"/>
        <v>0</v>
      </c>
      <c r="F304" s="305">
        <f t="shared" si="202"/>
        <v>0</v>
      </c>
      <c r="G304" s="303">
        <f t="shared" si="202"/>
        <v>0</v>
      </c>
      <c r="H304" s="304">
        <f t="shared" si="202"/>
        <v>0</v>
      </c>
      <c r="I304" s="327">
        <f t="shared" si="202"/>
        <v>25.89</v>
      </c>
      <c r="J304" s="303">
        <f t="shared" si="202"/>
        <v>25.89</v>
      </c>
      <c r="K304" s="304">
        <f t="shared" si="202"/>
        <v>0</v>
      </c>
      <c r="L304" s="305">
        <f t="shared" si="202"/>
        <v>0</v>
      </c>
      <c r="M304" s="328" t="s">
        <v>291</v>
      </c>
    </row>
    <row r="305" s="263" customFormat="1" ht="18.75" customHeight="1" spans="1:13">
      <c r="A305" s="306" t="s">
        <v>298</v>
      </c>
      <c r="B305" s="307" t="s">
        <v>298</v>
      </c>
      <c r="C305" s="308" t="s">
        <v>691</v>
      </c>
      <c r="D305" s="309">
        <f t="shared" ref="D305:D309" si="203">E305+I305</f>
        <v>25.89</v>
      </c>
      <c r="E305" s="310">
        <f t="shared" ref="E305:E309" si="204">SUBTOTAL(9,F305:H305)</f>
        <v>0</v>
      </c>
      <c r="F305" s="311">
        <v>0</v>
      </c>
      <c r="G305" s="309">
        <v>0</v>
      </c>
      <c r="H305" s="310">
        <v>0</v>
      </c>
      <c r="I305" s="329">
        <f t="shared" ref="I305:I309" si="205">SUBTOTAL(9,J305:L305)</f>
        <v>25.89</v>
      </c>
      <c r="J305" s="309">
        <v>25.89</v>
      </c>
      <c r="K305" s="310">
        <v>0</v>
      </c>
      <c r="L305" s="311">
        <v>0</v>
      </c>
      <c r="M305" s="330" t="s">
        <v>692</v>
      </c>
    </row>
    <row r="306" s="263" customFormat="1" ht="24" customHeight="1" spans="1:13">
      <c r="A306" s="294" t="s">
        <v>693</v>
      </c>
      <c r="B306" s="295" t="s">
        <v>694</v>
      </c>
      <c r="C306" s="296"/>
      <c r="D306" s="297">
        <f t="shared" ref="D306:L306" si="206">D307+D310+D312+D314</f>
        <v>6369.529</v>
      </c>
      <c r="E306" s="298">
        <f t="shared" si="206"/>
        <v>4607.199</v>
      </c>
      <c r="F306" s="299">
        <f t="shared" si="206"/>
        <v>4040.0554</v>
      </c>
      <c r="G306" s="297">
        <f t="shared" si="206"/>
        <v>512.892</v>
      </c>
      <c r="H306" s="298">
        <f t="shared" si="206"/>
        <v>54.2516</v>
      </c>
      <c r="I306" s="325">
        <f t="shared" si="206"/>
        <v>1762.33</v>
      </c>
      <c r="J306" s="297">
        <f t="shared" si="206"/>
        <v>840.33</v>
      </c>
      <c r="K306" s="298">
        <f t="shared" si="206"/>
        <v>0</v>
      </c>
      <c r="L306" s="299">
        <f t="shared" si="206"/>
        <v>922</v>
      </c>
      <c r="M306" s="326" t="s">
        <v>291</v>
      </c>
    </row>
    <row r="307" s="263" customFormat="1" ht="26" customHeight="1" spans="1:13">
      <c r="A307" s="300" t="s">
        <v>695</v>
      </c>
      <c r="B307" s="301" t="s">
        <v>696</v>
      </c>
      <c r="C307" s="302"/>
      <c r="D307" s="303">
        <f t="shared" ref="D307:L307" si="207">SUM(D308:D309)</f>
        <v>5144.249</v>
      </c>
      <c r="E307" s="304">
        <f t="shared" si="207"/>
        <v>4607.199</v>
      </c>
      <c r="F307" s="305">
        <f t="shared" si="207"/>
        <v>4040.0554</v>
      </c>
      <c r="G307" s="303">
        <f t="shared" si="207"/>
        <v>512.892</v>
      </c>
      <c r="H307" s="304">
        <f t="shared" si="207"/>
        <v>54.2516</v>
      </c>
      <c r="I307" s="327">
        <f t="shared" si="207"/>
        <v>537.05</v>
      </c>
      <c r="J307" s="303">
        <f t="shared" si="207"/>
        <v>537.05</v>
      </c>
      <c r="K307" s="304">
        <f t="shared" si="207"/>
        <v>0</v>
      </c>
      <c r="L307" s="305">
        <f t="shared" si="207"/>
        <v>0</v>
      </c>
      <c r="M307" s="328" t="s">
        <v>291</v>
      </c>
    </row>
    <row r="308" s="263" customFormat="1" ht="240" customHeight="1" spans="1:13">
      <c r="A308" s="306" t="s">
        <v>298</v>
      </c>
      <c r="B308" s="307" t="s">
        <v>298</v>
      </c>
      <c r="C308" s="308" t="s">
        <v>531</v>
      </c>
      <c r="D308" s="309">
        <f t="shared" si="203"/>
        <v>4585.5476</v>
      </c>
      <c r="E308" s="310">
        <f t="shared" si="204"/>
        <v>4048.4976</v>
      </c>
      <c r="F308" s="311">
        <v>3551.777</v>
      </c>
      <c r="G308" s="309">
        <v>445.146</v>
      </c>
      <c r="H308" s="310">
        <v>51.5746</v>
      </c>
      <c r="I308" s="329">
        <f t="shared" si="205"/>
        <v>537.05</v>
      </c>
      <c r="J308" s="309">
        <v>537.05</v>
      </c>
      <c r="K308" s="310">
        <v>0</v>
      </c>
      <c r="L308" s="311">
        <v>0</v>
      </c>
      <c r="M308" s="330" t="s">
        <v>697</v>
      </c>
    </row>
    <row r="309" s="263" customFormat="1" ht="18.75" customHeight="1" spans="1:13">
      <c r="A309" s="306" t="s">
        <v>298</v>
      </c>
      <c r="B309" s="307" t="s">
        <v>298</v>
      </c>
      <c r="C309" s="308" t="s">
        <v>537</v>
      </c>
      <c r="D309" s="309">
        <f t="shared" si="203"/>
        <v>558.7014</v>
      </c>
      <c r="E309" s="310">
        <f t="shared" si="204"/>
        <v>558.7014</v>
      </c>
      <c r="F309" s="311">
        <v>488.2784</v>
      </c>
      <c r="G309" s="309">
        <v>67.746</v>
      </c>
      <c r="H309" s="310">
        <v>2.677</v>
      </c>
      <c r="I309" s="329">
        <f t="shared" si="205"/>
        <v>0</v>
      </c>
      <c r="J309" s="309">
        <v>0</v>
      </c>
      <c r="K309" s="310">
        <v>0</v>
      </c>
      <c r="L309" s="311">
        <v>0</v>
      </c>
      <c r="M309" s="330" t="s">
        <v>291</v>
      </c>
    </row>
    <row r="310" s="263" customFormat="1" ht="22" customHeight="1" spans="1:13">
      <c r="A310" s="300" t="s">
        <v>698</v>
      </c>
      <c r="B310" s="301" t="s">
        <v>699</v>
      </c>
      <c r="C310" s="302"/>
      <c r="D310" s="303">
        <f t="shared" ref="D310:L310" si="208">D311</f>
        <v>922</v>
      </c>
      <c r="E310" s="304">
        <f t="shared" si="208"/>
        <v>0</v>
      </c>
      <c r="F310" s="305">
        <f t="shared" si="208"/>
        <v>0</v>
      </c>
      <c r="G310" s="303">
        <f t="shared" si="208"/>
        <v>0</v>
      </c>
      <c r="H310" s="304">
        <f t="shared" si="208"/>
        <v>0</v>
      </c>
      <c r="I310" s="327">
        <f t="shared" si="208"/>
        <v>922</v>
      </c>
      <c r="J310" s="303">
        <f t="shared" si="208"/>
        <v>0</v>
      </c>
      <c r="K310" s="304">
        <f t="shared" si="208"/>
        <v>0</v>
      </c>
      <c r="L310" s="305">
        <f t="shared" si="208"/>
        <v>922</v>
      </c>
      <c r="M310" s="328" t="s">
        <v>291</v>
      </c>
    </row>
    <row r="311" s="263" customFormat="1" ht="25" customHeight="1" spans="1:13">
      <c r="A311" s="306" t="s">
        <v>298</v>
      </c>
      <c r="B311" s="307" t="s">
        <v>298</v>
      </c>
      <c r="C311" s="308" t="s">
        <v>531</v>
      </c>
      <c r="D311" s="309">
        <f t="shared" ref="D311:D316" si="209">E311+I311</f>
        <v>922</v>
      </c>
      <c r="E311" s="310">
        <f t="shared" ref="E311:E316" si="210">SUBTOTAL(9,F311:H311)</f>
        <v>0</v>
      </c>
      <c r="F311" s="311">
        <v>0</v>
      </c>
      <c r="G311" s="309">
        <v>0</v>
      </c>
      <c r="H311" s="310">
        <v>0</v>
      </c>
      <c r="I311" s="329">
        <f t="shared" ref="I311:I316" si="211">SUBTOTAL(9,J311:L311)</f>
        <v>922</v>
      </c>
      <c r="J311" s="309">
        <v>0</v>
      </c>
      <c r="K311" s="310">
        <v>0</v>
      </c>
      <c r="L311" s="311">
        <v>922</v>
      </c>
      <c r="M311" s="330" t="s">
        <v>700</v>
      </c>
    </row>
    <row r="312" s="263" customFormat="1" ht="22" customHeight="1" spans="1:13">
      <c r="A312" s="300" t="s">
        <v>701</v>
      </c>
      <c r="B312" s="301" t="s">
        <v>702</v>
      </c>
      <c r="C312" s="302"/>
      <c r="D312" s="303">
        <f t="shared" ref="D312:L312" si="212">D313</f>
        <v>25.92</v>
      </c>
      <c r="E312" s="304">
        <f t="shared" si="212"/>
        <v>0</v>
      </c>
      <c r="F312" s="305">
        <f t="shared" si="212"/>
        <v>0</v>
      </c>
      <c r="G312" s="303">
        <f t="shared" si="212"/>
        <v>0</v>
      </c>
      <c r="H312" s="304">
        <f t="shared" si="212"/>
        <v>0</v>
      </c>
      <c r="I312" s="327">
        <f t="shared" si="212"/>
        <v>25.92</v>
      </c>
      <c r="J312" s="303">
        <f t="shared" si="212"/>
        <v>25.92</v>
      </c>
      <c r="K312" s="304">
        <f t="shared" si="212"/>
        <v>0</v>
      </c>
      <c r="L312" s="305">
        <f t="shared" si="212"/>
        <v>0</v>
      </c>
      <c r="M312" s="328" t="s">
        <v>291</v>
      </c>
    </row>
    <row r="313" s="263" customFormat="1" ht="27" customHeight="1" spans="1:13">
      <c r="A313" s="306" t="s">
        <v>298</v>
      </c>
      <c r="B313" s="307" t="s">
        <v>298</v>
      </c>
      <c r="C313" s="308" t="s">
        <v>530</v>
      </c>
      <c r="D313" s="309">
        <f t="shared" si="209"/>
        <v>25.92</v>
      </c>
      <c r="E313" s="310">
        <f t="shared" si="210"/>
        <v>0</v>
      </c>
      <c r="F313" s="311">
        <v>0</v>
      </c>
      <c r="G313" s="309">
        <v>0</v>
      </c>
      <c r="H313" s="310">
        <v>0</v>
      </c>
      <c r="I313" s="329">
        <f t="shared" si="211"/>
        <v>25.92</v>
      </c>
      <c r="J313" s="309">
        <v>25.92</v>
      </c>
      <c r="K313" s="310">
        <v>0</v>
      </c>
      <c r="L313" s="311">
        <v>0</v>
      </c>
      <c r="M313" s="330" t="s">
        <v>703</v>
      </c>
    </row>
    <row r="314" s="263" customFormat="1" ht="24" customHeight="1" spans="1:13">
      <c r="A314" s="300" t="s">
        <v>704</v>
      </c>
      <c r="B314" s="301" t="s">
        <v>705</v>
      </c>
      <c r="C314" s="302"/>
      <c r="D314" s="303">
        <f t="shared" ref="D314:L314" si="213">SUM(D315:D316)</f>
        <v>277.36</v>
      </c>
      <c r="E314" s="304">
        <f t="shared" si="213"/>
        <v>0</v>
      </c>
      <c r="F314" s="305">
        <f t="shared" si="213"/>
        <v>0</v>
      </c>
      <c r="G314" s="303">
        <f t="shared" si="213"/>
        <v>0</v>
      </c>
      <c r="H314" s="304">
        <f t="shared" si="213"/>
        <v>0</v>
      </c>
      <c r="I314" s="327">
        <f t="shared" si="213"/>
        <v>277.36</v>
      </c>
      <c r="J314" s="303">
        <f t="shared" si="213"/>
        <v>277.36</v>
      </c>
      <c r="K314" s="304">
        <f t="shared" si="213"/>
        <v>0</v>
      </c>
      <c r="L314" s="305">
        <f t="shared" si="213"/>
        <v>0</v>
      </c>
      <c r="M314" s="328" t="s">
        <v>291</v>
      </c>
    </row>
    <row r="315" s="263" customFormat="1" ht="25" customHeight="1" spans="1:13">
      <c r="A315" s="306" t="s">
        <v>298</v>
      </c>
      <c r="B315" s="307" t="s">
        <v>298</v>
      </c>
      <c r="C315" s="308" t="s">
        <v>530</v>
      </c>
      <c r="D315" s="309">
        <f t="shared" si="209"/>
        <v>27.36</v>
      </c>
      <c r="E315" s="310">
        <f t="shared" si="210"/>
        <v>0</v>
      </c>
      <c r="F315" s="311">
        <v>0</v>
      </c>
      <c r="G315" s="309">
        <v>0</v>
      </c>
      <c r="H315" s="310">
        <v>0</v>
      </c>
      <c r="I315" s="329">
        <f t="shared" si="211"/>
        <v>27.36</v>
      </c>
      <c r="J315" s="309">
        <v>27.36</v>
      </c>
      <c r="K315" s="310">
        <v>0</v>
      </c>
      <c r="L315" s="311">
        <v>0</v>
      </c>
      <c r="M315" s="330" t="s">
        <v>706</v>
      </c>
    </row>
    <row r="316" s="263" customFormat="1" ht="150" customHeight="1" spans="1:13">
      <c r="A316" s="306" t="s">
        <v>298</v>
      </c>
      <c r="B316" s="307" t="s">
        <v>298</v>
      </c>
      <c r="C316" s="308" t="s">
        <v>537</v>
      </c>
      <c r="D316" s="309">
        <f t="shared" si="209"/>
        <v>250</v>
      </c>
      <c r="E316" s="310">
        <f t="shared" si="210"/>
        <v>0</v>
      </c>
      <c r="F316" s="311">
        <v>0</v>
      </c>
      <c r="G316" s="309">
        <v>0</v>
      </c>
      <c r="H316" s="310">
        <v>0</v>
      </c>
      <c r="I316" s="329">
        <f t="shared" si="211"/>
        <v>250</v>
      </c>
      <c r="J316" s="309">
        <v>250</v>
      </c>
      <c r="K316" s="310">
        <v>0</v>
      </c>
      <c r="L316" s="311">
        <v>0</v>
      </c>
      <c r="M316" s="330" t="s">
        <v>707</v>
      </c>
    </row>
    <row r="317" s="263" customFormat="1" ht="26" customHeight="1" spans="1:13">
      <c r="A317" s="294" t="s">
        <v>708</v>
      </c>
      <c r="B317" s="295" t="s">
        <v>709</v>
      </c>
      <c r="C317" s="296"/>
      <c r="D317" s="297">
        <f t="shared" ref="D317:L317" si="214">D318+D320+D322+D324</f>
        <v>692.1032</v>
      </c>
      <c r="E317" s="298">
        <f t="shared" si="214"/>
        <v>417.4032</v>
      </c>
      <c r="F317" s="299">
        <f t="shared" si="214"/>
        <v>348.4599</v>
      </c>
      <c r="G317" s="297">
        <f t="shared" si="214"/>
        <v>56.44</v>
      </c>
      <c r="H317" s="298">
        <f t="shared" si="214"/>
        <v>12.5033</v>
      </c>
      <c r="I317" s="325">
        <f t="shared" si="214"/>
        <v>274.7</v>
      </c>
      <c r="J317" s="297">
        <f t="shared" si="214"/>
        <v>64.7</v>
      </c>
      <c r="K317" s="298">
        <f t="shared" si="214"/>
        <v>0</v>
      </c>
      <c r="L317" s="299">
        <f t="shared" si="214"/>
        <v>210</v>
      </c>
      <c r="M317" s="326" t="s">
        <v>291</v>
      </c>
    </row>
    <row r="318" s="263" customFormat="1" ht="26" customHeight="1" spans="1:13">
      <c r="A318" s="300" t="s">
        <v>710</v>
      </c>
      <c r="B318" s="301" t="s">
        <v>711</v>
      </c>
      <c r="C318" s="302"/>
      <c r="D318" s="303">
        <f t="shared" ref="D318:L318" si="215">D319</f>
        <v>417.8832</v>
      </c>
      <c r="E318" s="304">
        <f t="shared" si="215"/>
        <v>417.4032</v>
      </c>
      <c r="F318" s="305">
        <f t="shared" si="215"/>
        <v>348.4599</v>
      </c>
      <c r="G318" s="303">
        <f t="shared" si="215"/>
        <v>56.44</v>
      </c>
      <c r="H318" s="304">
        <f t="shared" si="215"/>
        <v>12.5033</v>
      </c>
      <c r="I318" s="327">
        <f t="shared" si="215"/>
        <v>0.48</v>
      </c>
      <c r="J318" s="303">
        <f t="shared" si="215"/>
        <v>0.48</v>
      </c>
      <c r="K318" s="304">
        <f t="shared" si="215"/>
        <v>0</v>
      </c>
      <c r="L318" s="305">
        <f t="shared" si="215"/>
        <v>0</v>
      </c>
      <c r="M318" s="328" t="s">
        <v>291</v>
      </c>
    </row>
    <row r="319" s="263" customFormat="1" ht="26" customHeight="1" spans="1:13">
      <c r="A319" s="306" t="s">
        <v>298</v>
      </c>
      <c r="B319" s="307" t="s">
        <v>298</v>
      </c>
      <c r="C319" s="308" t="s">
        <v>532</v>
      </c>
      <c r="D319" s="309">
        <f t="shared" ref="D319:D323" si="216">E319+I319</f>
        <v>417.8832</v>
      </c>
      <c r="E319" s="310">
        <f t="shared" ref="E319:E323" si="217">SUBTOTAL(9,F319:H319)</f>
        <v>417.4032</v>
      </c>
      <c r="F319" s="311">
        <v>348.4599</v>
      </c>
      <c r="G319" s="309">
        <v>56.44</v>
      </c>
      <c r="H319" s="310">
        <v>12.5033</v>
      </c>
      <c r="I319" s="329">
        <f t="shared" ref="I319:I323" si="218">SUBTOTAL(9,J319:L319)</f>
        <v>0.48</v>
      </c>
      <c r="J319" s="309">
        <v>0.48</v>
      </c>
      <c r="K319" s="310">
        <v>0</v>
      </c>
      <c r="L319" s="311">
        <v>0</v>
      </c>
      <c r="M319" s="330" t="s">
        <v>712</v>
      </c>
    </row>
    <row r="320" s="263" customFormat="1" ht="26" customHeight="1" spans="1:13">
      <c r="A320" s="300" t="s">
        <v>713</v>
      </c>
      <c r="B320" s="301" t="s">
        <v>714</v>
      </c>
      <c r="C320" s="302"/>
      <c r="D320" s="303">
        <f t="shared" ref="D320:L320" si="219">D321</f>
        <v>5.34</v>
      </c>
      <c r="E320" s="304">
        <f t="shared" si="219"/>
        <v>0</v>
      </c>
      <c r="F320" s="305">
        <f t="shared" si="219"/>
        <v>0</v>
      </c>
      <c r="G320" s="303">
        <f t="shared" si="219"/>
        <v>0</v>
      </c>
      <c r="H320" s="304">
        <f t="shared" si="219"/>
        <v>0</v>
      </c>
      <c r="I320" s="327">
        <f t="shared" si="219"/>
        <v>5.34</v>
      </c>
      <c r="J320" s="303">
        <f t="shared" si="219"/>
        <v>5.34</v>
      </c>
      <c r="K320" s="304">
        <f t="shared" si="219"/>
        <v>0</v>
      </c>
      <c r="L320" s="305">
        <f t="shared" si="219"/>
        <v>0</v>
      </c>
      <c r="M320" s="328" t="s">
        <v>291</v>
      </c>
    </row>
    <row r="321" s="263" customFormat="1" ht="29" customHeight="1" spans="1:13">
      <c r="A321" s="306" t="s">
        <v>298</v>
      </c>
      <c r="B321" s="307" t="s">
        <v>298</v>
      </c>
      <c r="C321" s="308" t="s">
        <v>532</v>
      </c>
      <c r="D321" s="309">
        <f t="shared" si="216"/>
        <v>5.34</v>
      </c>
      <c r="E321" s="310">
        <f t="shared" si="217"/>
        <v>0</v>
      </c>
      <c r="F321" s="311">
        <v>0</v>
      </c>
      <c r="G321" s="309">
        <v>0</v>
      </c>
      <c r="H321" s="310">
        <v>0</v>
      </c>
      <c r="I321" s="329">
        <f t="shared" si="218"/>
        <v>5.34</v>
      </c>
      <c r="J321" s="309">
        <v>5.34</v>
      </c>
      <c r="K321" s="310">
        <v>0</v>
      </c>
      <c r="L321" s="311">
        <v>0</v>
      </c>
      <c r="M321" s="330" t="s">
        <v>715</v>
      </c>
    </row>
    <row r="322" s="263" customFormat="1" ht="24" customHeight="1" spans="1:13">
      <c r="A322" s="300" t="s">
        <v>716</v>
      </c>
      <c r="B322" s="301" t="s">
        <v>717</v>
      </c>
      <c r="C322" s="302"/>
      <c r="D322" s="303">
        <f t="shared" ref="D322:L322" si="220">D323</f>
        <v>247</v>
      </c>
      <c r="E322" s="304">
        <f t="shared" si="220"/>
        <v>0</v>
      </c>
      <c r="F322" s="305">
        <f t="shared" si="220"/>
        <v>0</v>
      </c>
      <c r="G322" s="303">
        <f t="shared" si="220"/>
        <v>0</v>
      </c>
      <c r="H322" s="304">
        <f t="shared" si="220"/>
        <v>0</v>
      </c>
      <c r="I322" s="327">
        <f t="shared" si="220"/>
        <v>247</v>
      </c>
      <c r="J322" s="303">
        <f t="shared" si="220"/>
        <v>37</v>
      </c>
      <c r="K322" s="304">
        <f t="shared" si="220"/>
        <v>0</v>
      </c>
      <c r="L322" s="305">
        <f t="shared" si="220"/>
        <v>210</v>
      </c>
      <c r="M322" s="328" t="s">
        <v>291</v>
      </c>
    </row>
    <row r="323" s="263" customFormat="1" ht="58" customHeight="1" spans="1:13">
      <c r="A323" s="306" t="s">
        <v>298</v>
      </c>
      <c r="B323" s="307" t="s">
        <v>298</v>
      </c>
      <c r="C323" s="308" t="s">
        <v>532</v>
      </c>
      <c r="D323" s="309">
        <f t="shared" si="216"/>
        <v>247</v>
      </c>
      <c r="E323" s="310">
        <f t="shared" si="217"/>
        <v>0</v>
      </c>
      <c r="F323" s="311">
        <v>0</v>
      </c>
      <c r="G323" s="309">
        <v>0</v>
      </c>
      <c r="H323" s="310">
        <v>0</v>
      </c>
      <c r="I323" s="329">
        <f t="shared" si="218"/>
        <v>247</v>
      </c>
      <c r="J323" s="309">
        <v>37</v>
      </c>
      <c r="K323" s="310">
        <v>0</v>
      </c>
      <c r="L323" s="311">
        <v>210</v>
      </c>
      <c r="M323" s="330" t="s">
        <v>718</v>
      </c>
    </row>
    <row r="324" s="263" customFormat="1" ht="24" customHeight="1" spans="1:13">
      <c r="A324" s="300" t="s">
        <v>719</v>
      </c>
      <c r="B324" s="301" t="s">
        <v>720</v>
      </c>
      <c r="C324" s="302"/>
      <c r="D324" s="303">
        <f t="shared" ref="D324:L324" si="221">D325</f>
        <v>21.88</v>
      </c>
      <c r="E324" s="304">
        <f t="shared" si="221"/>
        <v>0</v>
      </c>
      <c r="F324" s="305">
        <f t="shared" si="221"/>
        <v>0</v>
      </c>
      <c r="G324" s="303">
        <f t="shared" si="221"/>
        <v>0</v>
      </c>
      <c r="H324" s="304">
        <f t="shared" si="221"/>
        <v>0</v>
      </c>
      <c r="I324" s="327">
        <f t="shared" si="221"/>
        <v>21.88</v>
      </c>
      <c r="J324" s="303">
        <f t="shared" si="221"/>
        <v>21.88</v>
      </c>
      <c r="K324" s="304">
        <f t="shared" si="221"/>
        <v>0</v>
      </c>
      <c r="L324" s="305">
        <f t="shared" si="221"/>
        <v>0</v>
      </c>
      <c r="M324" s="328" t="s">
        <v>291</v>
      </c>
    </row>
    <row r="325" s="263" customFormat="1" ht="39" customHeight="1" spans="1:13">
      <c r="A325" s="306" t="s">
        <v>298</v>
      </c>
      <c r="B325" s="307" t="s">
        <v>298</v>
      </c>
      <c r="C325" s="308" t="s">
        <v>532</v>
      </c>
      <c r="D325" s="309">
        <f t="shared" ref="D325:D330" si="222">E325+I325</f>
        <v>21.88</v>
      </c>
      <c r="E325" s="310">
        <f t="shared" ref="E325:E330" si="223">SUBTOTAL(9,F325:H325)</f>
        <v>0</v>
      </c>
      <c r="F325" s="311">
        <v>0</v>
      </c>
      <c r="G325" s="309">
        <v>0</v>
      </c>
      <c r="H325" s="310">
        <v>0</v>
      </c>
      <c r="I325" s="329">
        <f t="shared" ref="I325:I330" si="224">SUBTOTAL(9,J325:L325)</f>
        <v>21.88</v>
      </c>
      <c r="J325" s="309">
        <v>21.88</v>
      </c>
      <c r="K325" s="310">
        <v>0</v>
      </c>
      <c r="L325" s="311">
        <v>0</v>
      </c>
      <c r="M325" s="330" t="s">
        <v>721</v>
      </c>
    </row>
    <row r="326" s="263" customFormat="1" ht="24" customHeight="1" spans="1:13">
      <c r="A326" s="294" t="s">
        <v>722</v>
      </c>
      <c r="B326" s="295" t="s">
        <v>723</v>
      </c>
      <c r="C326" s="296"/>
      <c r="D326" s="297">
        <f t="shared" ref="D326:L326" si="225">D327+D329+D331+D333</f>
        <v>1727.9529</v>
      </c>
      <c r="E326" s="298">
        <f t="shared" si="225"/>
        <v>1065.6829</v>
      </c>
      <c r="F326" s="299">
        <f t="shared" si="225"/>
        <v>897.4057</v>
      </c>
      <c r="G326" s="297">
        <f t="shared" si="225"/>
        <v>143.494</v>
      </c>
      <c r="H326" s="298">
        <f t="shared" si="225"/>
        <v>24.7832</v>
      </c>
      <c r="I326" s="325">
        <f t="shared" si="225"/>
        <v>662.27</v>
      </c>
      <c r="J326" s="297">
        <f t="shared" si="225"/>
        <v>67.27</v>
      </c>
      <c r="K326" s="298">
        <f t="shared" si="225"/>
        <v>0</v>
      </c>
      <c r="L326" s="299">
        <f t="shared" si="225"/>
        <v>595</v>
      </c>
      <c r="M326" s="326" t="s">
        <v>291</v>
      </c>
    </row>
    <row r="327" s="263" customFormat="1" ht="24" customHeight="1" spans="1:13">
      <c r="A327" s="300" t="s">
        <v>724</v>
      </c>
      <c r="B327" s="301" t="s">
        <v>725</v>
      </c>
      <c r="C327" s="302"/>
      <c r="D327" s="303">
        <f t="shared" ref="D327:L327" si="226">D328</f>
        <v>1073.1529</v>
      </c>
      <c r="E327" s="304">
        <f t="shared" si="226"/>
        <v>1065.6829</v>
      </c>
      <c r="F327" s="305">
        <f t="shared" si="226"/>
        <v>897.4057</v>
      </c>
      <c r="G327" s="303">
        <f t="shared" si="226"/>
        <v>143.494</v>
      </c>
      <c r="H327" s="304">
        <f t="shared" si="226"/>
        <v>24.7832</v>
      </c>
      <c r="I327" s="327">
        <f t="shared" si="226"/>
        <v>7.47</v>
      </c>
      <c r="J327" s="303">
        <f t="shared" si="226"/>
        <v>7.47</v>
      </c>
      <c r="K327" s="304">
        <f t="shared" si="226"/>
        <v>0</v>
      </c>
      <c r="L327" s="305">
        <f t="shared" si="226"/>
        <v>0</v>
      </c>
      <c r="M327" s="328" t="s">
        <v>291</v>
      </c>
    </row>
    <row r="328" s="263" customFormat="1" ht="40" customHeight="1" spans="1:13">
      <c r="A328" s="306" t="s">
        <v>298</v>
      </c>
      <c r="B328" s="307" t="s">
        <v>298</v>
      </c>
      <c r="C328" s="308" t="s">
        <v>533</v>
      </c>
      <c r="D328" s="309">
        <f t="shared" si="222"/>
        <v>1073.1529</v>
      </c>
      <c r="E328" s="310">
        <f t="shared" si="223"/>
        <v>1065.6829</v>
      </c>
      <c r="F328" s="311">
        <v>897.4057</v>
      </c>
      <c r="G328" s="309">
        <v>143.494</v>
      </c>
      <c r="H328" s="310">
        <v>24.7832</v>
      </c>
      <c r="I328" s="329">
        <f t="shared" si="224"/>
        <v>7.47</v>
      </c>
      <c r="J328" s="309">
        <v>7.47</v>
      </c>
      <c r="K328" s="310">
        <v>0</v>
      </c>
      <c r="L328" s="311">
        <v>0</v>
      </c>
      <c r="M328" s="330" t="s">
        <v>726</v>
      </c>
    </row>
    <row r="329" s="263" customFormat="1" ht="24" customHeight="1" spans="1:13">
      <c r="A329" s="300" t="s">
        <v>727</v>
      </c>
      <c r="B329" s="301" t="s">
        <v>728</v>
      </c>
      <c r="C329" s="302"/>
      <c r="D329" s="303">
        <f t="shared" ref="D329:L329" si="227">D330</f>
        <v>618.2</v>
      </c>
      <c r="E329" s="304">
        <f t="shared" si="227"/>
        <v>0</v>
      </c>
      <c r="F329" s="305">
        <f t="shared" si="227"/>
        <v>0</v>
      </c>
      <c r="G329" s="303">
        <f t="shared" si="227"/>
        <v>0</v>
      </c>
      <c r="H329" s="304">
        <f t="shared" si="227"/>
        <v>0</v>
      </c>
      <c r="I329" s="327">
        <f t="shared" si="227"/>
        <v>618.2</v>
      </c>
      <c r="J329" s="303">
        <f t="shared" si="227"/>
        <v>23.2</v>
      </c>
      <c r="K329" s="304">
        <f t="shared" si="227"/>
        <v>0</v>
      </c>
      <c r="L329" s="305">
        <f t="shared" si="227"/>
        <v>595</v>
      </c>
      <c r="M329" s="328" t="s">
        <v>291</v>
      </c>
    </row>
    <row r="330" s="263" customFormat="1" ht="51" customHeight="1" spans="1:13">
      <c r="A330" s="306" t="s">
        <v>298</v>
      </c>
      <c r="B330" s="307" t="s">
        <v>298</v>
      </c>
      <c r="C330" s="308" t="s">
        <v>533</v>
      </c>
      <c r="D330" s="309">
        <f t="shared" si="222"/>
        <v>618.2</v>
      </c>
      <c r="E330" s="310">
        <f t="shared" si="223"/>
        <v>0</v>
      </c>
      <c r="F330" s="311">
        <v>0</v>
      </c>
      <c r="G330" s="309">
        <v>0</v>
      </c>
      <c r="H330" s="310">
        <v>0</v>
      </c>
      <c r="I330" s="329">
        <f t="shared" si="224"/>
        <v>618.2</v>
      </c>
      <c r="J330" s="309">
        <v>23.2</v>
      </c>
      <c r="K330" s="310">
        <v>0</v>
      </c>
      <c r="L330" s="311">
        <v>595</v>
      </c>
      <c r="M330" s="330" t="s">
        <v>729</v>
      </c>
    </row>
    <row r="331" s="263" customFormat="1" ht="22" customHeight="1" spans="1:13">
      <c r="A331" s="300" t="s">
        <v>730</v>
      </c>
      <c r="B331" s="301" t="s">
        <v>731</v>
      </c>
      <c r="C331" s="302"/>
      <c r="D331" s="303">
        <f t="shared" ref="D331:L331" si="228">D332</f>
        <v>13.2</v>
      </c>
      <c r="E331" s="304">
        <f t="shared" si="228"/>
        <v>0</v>
      </c>
      <c r="F331" s="305">
        <f t="shared" si="228"/>
        <v>0</v>
      </c>
      <c r="G331" s="303">
        <f t="shared" si="228"/>
        <v>0</v>
      </c>
      <c r="H331" s="304">
        <f t="shared" si="228"/>
        <v>0</v>
      </c>
      <c r="I331" s="327">
        <f t="shared" si="228"/>
        <v>13.2</v>
      </c>
      <c r="J331" s="303">
        <f t="shared" si="228"/>
        <v>13.2</v>
      </c>
      <c r="K331" s="304">
        <f t="shared" si="228"/>
        <v>0</v>
      </c>
      <c r="L331" s="305">
        <f t="shared" si="228"/>
        <v>0</v>
      </c>
      <c r="M331" s="328" t="s">
        <v>291</v>
      </c>
    </row>
    <row r="332" s="263" customFormat="1" ht="18.75" customHeight="1" spans="1:13">
      <c r="A332" s="306" t="s">
        <v>298</v>
      </c>
      <c r="B332" s="307" t="s">
        <v>298</v>
      </c>
      <c r="C332" s="308" t="s">
        <v>533</v>
      </c>
      <c r="D332" s="309">
        <f t="shared" ref="D332:D337" si="229">E332+I332</f>
        <v>13.2</v>
      </c>
      <c r="E332" s="310">
        <f t="shared" ref="E332:E337" si="230">SUBTOTAL(9,F332:H332)</f>
        <v>0</v>
      </c>
      <c r="F332" s="311">
        <v>0</v>
      </c>
      <c r="G332" s="309">
        <v>0</v>
      </c>
      <c r="H332" s="310">
        <v>0</v>
      </c>
      <c r="I332" s="329">
        <f t="shared" ref="I332:I337" si="231">SUBTOTAL(9,J332:L332)</f>
        <v>13.2</v>
      </c>
      <c r="J332" s="309">
        <v>13.2</v>
      </c>
      <c r="K332" s="310">
        <v>0</v>
      </c>
      <c r="L332" s="311">
        <v>0</v>
      </c>
      <c r="M332" s="330" t="s">
        <v>732</v>
      </c>
    </row>
    <row r="333" s="263" customFormat="1" ht="22" customHeight="1" spans="1:13">
      <c r="A333" s="300" t="s">
        <v>733</v>
      </c>
      <c r="B333" s="301" t="s">
        <v>734</v>
      </c>
      <c r="C333" s="302"/>
      <c r="D333" s="303">
        <f t="shared" ref="D333:L333" si="232">D334</f>
        <v>23.4</v>
      </c>
      <c r="E333" s="304">
        <f t="shared" si="232"/>
        <v>0</v>
      </c>
      <c r="F333" s="305">
        <f t="shared" si="232"/>
        <v>0</v>
      </c>
      <c r="G333" s="303">
        <f t="shared" si="232"/>
        <v>0</v>
      </c>
      <c r="H333" s="304">
        <f t="shared" si="232"/>
        <v>0</v>
      </c>
      <c r="I333" s="327">
        <f t="shared" si="232"/>
        <v>23.4</v>
      </c>
      <c r="J333" s="303">
        <f t="shared" si="232"/>
        <v>23.4</v>
      </c>
      <c r="K333" s="304">
        <f t="shared" si="232"/>
        <v>0</v>
      </c>
      <c r="L333" s="305">
        <f t="shared" si="232"/>
        <v>0</v>
      </c>
      <c r="M333" s="328" t="s">
        <v>291</v>
      </c>
    </row>
    <row r="334" s="263" customFormat="1" ht="76" customHeight="1" spans="1:13">
      <c r="A334" s="306" t="s">
        <v>298</v>
      </c>
      <c r="B334" s="307" t="s">
        <v>298</v>
      </c>
      <c r="C334" s="308" t="s">
        <v>533</v>
      </c>
      <c r="D334" s="309">
        <f t="shared" si="229"/>
        <v>23.4</v>
      </c>
      <c r="E334" s="310">
        <f t="shared" si="230"/>
        <v>0</v>
      </c>
      <c r="F334" s="311">
        <v>0</v>
      </c>
      <c r="G334" s="309">
        <v>0</v>
      </c>
      <c r="H334" s="310">
        <v>0</v>
      </c>
      <c r="I334" s="329">
        <f t="shared" si="231"/>
        <v>23.4</v>
      </c>
      <c r="J334" s="309">
        <v>23.4</v>
      </c>
      <c r="K334" s="310">
        <v>0</v>
      </c>
      <c r="L334" s="311">
        <v>0</v>
      </c>
      <c r="M334" s="330" t="s">
        <v>735</v>
      </c>
    </row>
    <row r="335" s="263" customFormat="1" ht="21" customHeight="1" spans="1:13">
      <c r="A335" s="294" t="s">
        <v>736</v>
      </c>
      <c r="B335" s="295" t="s">
        <v>737</v>
      </c>
      <c r="C335" s="296"/>
      <c r="D335" s="297">
        <f t="shared" ref="D335:L335" si="233">D336+D338+D340+D342+D344+D346</f>
        <v>879.3767</v>
      </c>
      <c r="E335" s="298">
        <f t="shared" si="233"/>
        <v>555.8249</v>
      </c>
      <c r="F335" s="299">
        <f t="shared" si="233"/>
        <v>443.5162</v>
      </c>
      <c r="G335" s="297">
        <f t="shared" si="233"/>
        <v>76.1</v>
      </c>
      <c r="H335" s="298">
        <f t="shared" si="233"/>
        <v>36.2087</v>
      </c>
      <c r="I335" s="325">
        <f t="shared" si="233"/>
        <v>323.5518</v>
      </c>
      <c r="J335" s="297">
        <f t="shared" si="233"/>
        <v>124.54</v>
      </c>
      <c r="K335" s="298">
        <f t="shared" si="233"/>
        <v>20.3118</v>
      </c>
      <c r="L335" s="299">
        <f t="shared" si="233"/>
        <v>178.7</v>
      </c>
      <c r="M335" s="326" t="s">
        <v>291</v>
      </c>
    </row>
    <row r="336" s="263" customFormat="1" ht="22" customHeight="1" spans="1:13">
      <c r="A336" s="300" t="s">
        <v>738</v>
      </c>
      <c r="B336" s="301" t="s">
        <v>739</v>
      </c>
      <c r="C336" s="302"/>
      <c r="D336" s="303">
        <f t="shared" ref="D336:L336" si="234">D337</f>
        <v>582.3449</v>
      </c>
      <c r="E336" s="304">
        <f t="shared" si="234"/>
        <v>555.8249</v>
      </c>
      <c r="F336" s="305">
        <f t="shared" si="234"/>
        <v>443.5162</v>
      </c>
      <c r="G336" s="303">
        <f t="shared" si="234"/>
        <v>76.1</v>
      </c>
      <c r="H336" s="304">
        <f t="shared" si="234"/>
        <v>36.2087</v>
      </c>
      <c r="I336" s="327">
        <f t="shared" si="234"/>
        <v>26.52</v>
      </c>
      <c r="J336" s="303">
        <f t="shared" si="234"/>
        <v>26.52</v>
      </c>
      <c r="K336" s="304">
        <f t="shared" si="234"/>
        <v>0</v>
      </c>
      <c r="L336" s="305">
        <f t="shared" si="234"/>
        <v>0</v>
      </c>
      <c r="M336" s="328" t="s">
        <v>291</v>
      </c>
    </row>
    <row r="337" s="263" customFormat="1" ht="38" customHeight="1" spans="1:13">
      <c r="A337" s="306" t="s">
        <v>298</v>
      </c>
      <c r="B337" s="307" t="s">
        <v>298</v>
      </c>
      <c r="C337" s="308" t="s">
        <v>534</v>
      </c>
      <c r="D337" s="309">
        <f t="shared" si="229"/>
        <v>582.3449</v>
      </c>
      <c r="E337" s="310">
        <f t="shared" si="230"/>
        <v>555.8249</v>
      </c>
      <c r="F337" s="311">
        <v>443.5162</v>
      </c>
      <c r="G337" s="309">
        <v>76.1</v>
      </c>
      <c r="H337" s="310">
        <v>36.2087</v>
      </c>
      <c r="I337" s="329">
        <f t="shared" si="231"/>
        <v>26.52</v>
      </c>
      <c r="J337" s="309">
        <v>26.52</v>
      </c>
      <c r="K337" s="310">
        <v>0</v>
      </c>
      <c r="L337" s="311">
        <v>0</v>
      </c>
      <c r="M337" s="330" t="s">
        <v>740</v>
      </c>
    </row>
    <row r="338" s="263" customFormat="1" ht="26" customHeight="1" spans="1:13">
      <c r="A338" s="300" t="s">
        <v>741</v>
      </c>
      <c r="B338" s="301" t="s">
        <v>742</v>
      </c>
      <c r="C338" s="302"/>
      <c r="D338" s="303">
        <f t="shared" ref="D338:L338" si="235">D339</f>
        <v>16</v>
      </c>
      <c r="E338" s="304">
        <f t="shared" si="235"/>
        <v>0</v>
      </c>
      <c r="F338" s="305">
        <f t="shared" si="235"/>
        <v>0</v>
      </c>
      <c r="G338" s="303">
        <f t="shared" si="235"/>
        <v>0</v>
      </c>
      <c r="H338" s="304">
        <f t="shared" si="235"/>
        <v>0</v>
      </c>
      <c r="I338" s="327">
        <f t="shared" si="235"/>
        <v>16</v>
      </c>
      <c r="J338" s="303">
        <f t="shared" si="235"/>
        <v>16</v>
      </c>
      <c r="K338" s="304">
        <f t="shared" si="235"/>
        <v>0</v>
      </c>
      <c r="L338" s="305">
        <f t="shared" si="235"/>
        <v>0</v>
      </c>
      <c r="M338" s="328" t="s">
        <v>291</v>
      </c>
    </row>
    <row r="339" s="263" customFormat="1" ht="24" customHeight="1" spans="1:13">
      <c r="A339" s="306" t="s">
        <v>298</v>
      </c>
      <c r="B339" s="307" t="s">
        <v>298</v>
      </c>
      <c r="C339" s="308" t="s">
        <v>534</v>
      </c>
      <c r="D339" s="309">
        <f t="shared" ref="D339:D343" si="236">E339+I339</f>
        <v>16</v>
      </c>
      <c r="E339" s="310">
        <f t="shared" ref="E339:E343" si="237">SUBTOTAL(9,F339:H339)</f>
        <v>0</v>
      </c>
      <c r="F339" s="311">
        <v>0</v>
      </c>
      <c r="G339" s="309">
        <v>0</v>
      </c>
      <c r="H339" s="310">
        <v>0</v>
      </c>
      <c r="I339" s="329">
        <f t="shared" ref="I339:I343" si="238">SUBTOTAL(9,J339:L339)</f>
        <v>16</v>
      </c>
      <c r="J339" s="309">
        <v>16</v>
      </c>
      <c r="K339" s="310">
        <v>0</v>
      </c>
      <c r="L339" s="311">
        <v>0</v>
      </c>
      <c r="M339" s="330" t="s">
        <v>743</v>
      </c>
    </row>
    <row r="340" s="263" customFormat="1" ht="22" customHeight="1" spans="1:13">
      <c r="A340" s="300" t="s">
        <v>744</v>
      </c>
      <c r="B340" s="301" t="s">
        <v>745</v>
      </c>
      <c r="C340" s="302"/>
      <c r="D340" s="303">
        <f t="shared" ref="D340:L340" si="239">D341</f>
        <v>203.77</v>
      </c>
      <c r="E340" s="304">
        <f t="shared" si="239"/>
        <v>0</v>
      </c>
      <c r="F340" s="305">
        <f t="shared" si="239"/>
        <v>0</v>
      </c>
      <c r="G340" s="303">
        <f t="shared" si="239"/>
        <v>0</v>
      </c>
      <c r="H340" s="304">
        <f t="shared" si="239"/>
        <v>0</v>
      </c>
      <c r="I340" s="327">
        <f t="shared" si="239"/>
        <v>203.77</v>
      </c>
      <c r="J340" s="303">
        <f t="shared" si="239"/>
        <v>50.07</v>
      </c>
      <c r="K340" s="304">
        <f t="shared" si="239"/>
        <v>0</v>
      </c>
      <c r="L340" s="305">
        <f t="shared" si="239"/>
        <v>153.7</v>
      </c>
      <c r="M340" s="328" t="s">
        <v>291</v>
      </c>
    </row>
    <row r="341" s="263" customFormat="1" ht="45" customHeight="1" spans="1:13">
      <c r="A341" s="306" t="s">
        <v>298</v>
      </c>
      <c r="B341" s="307" t="s">
        <v>298</v>
      </c>
      <c r="C341" s="308" t="s">
        <v>534</v>
      </c>
      <c r="D341" s="309">
        <f t="shared" si="236"/>
        <v>203.77</v>
      </c>
      <c r="E341" s="310">
        <f t="shared" si="237"/>
        <v>0</v>
      </c>
      <c r="F341" s="311">
        <v>0</v>
      </c>
      <c r="G341" s="309">
        <v>0</v>
      </c>
      <c r="H341" s="310">
        <v>0</v>
      </c>
      <c r="I341" s="329">
        <f t="shared" si="238"/>
        <v>203.77</v>
      </c>
      <c r="J341" s="309">
        <v>50.07</v>
      </c>
      <c r="K341" s="310">
        <v>0</v>
      </c>
      <c r="L341" s="311">
        <v>153.7</v>
      </c>
      <c r="M341" s="330" t="s">
        <v>746</v>
      </c>
    </row>
    <row r="342" s="263" customFormat="1" ht="22" customHeight="1" spans="1:13">
      <c r="A342" s="300" t="s">
        <v>747</v>
      </c>
      <c r="B342" s="301" t="s">
        <v>748</v>
      </c>
      <c r="C342" s="302"/>
      <c r="D342" s="303">
        <f t="shared" ref="D342:L342" si="240">D343</f>
        <v>21.46</v>
      </c>
      <c r="E342" s="304">
        <f t="shared" si="240"/>
        <v>0</v>
      </c>
      <c r="F342" s="305">
        <f t="shared" si="240"/>
        <v>0</v>
      </c>
      <c r="G342" s="303">
        <f t="shared" si="240"/>
        <v>0</v>
      </c>
      <c r="H342" s="304">
        <f t="shared" si="240"/>
        <v>0</v>
      </c>
      <c r="I342" s="327">
        <f t="shared" si="240"/>
        <v>21.46</v>
      </c>
      <c r="J342" s="303">
        <f t="shared" si="240"/>
        <v>21.46</v>
      </c>
      <c r="K342" s="304">
        <f t="shared" si="240"/>
        <v>0</v>
      </c>
      <c r="L342" s="305">
        <f t="shared" si="240"/>
        <v>0</v>
      </c>
      <c r="M342" s="328" t="s">
        <v>291</v>
      </c>
    </row>
    <row r="343" s="263" customFormat="1" ht="37" customHeight="1" spans="1:13">
      <c r="A343" s="306" t="s">
        <v>298</v>
      </c>
      <c r="B343" s="307" t="s">
        <v>298</v>
      </c>
      <c r="C343" s="308" t="s">
        <v>534</v>
      </c>
      <c r="D343" s="309">
        <f t="shared" si="236"/>
        <v>21.46</v>
      </c>
      <c r="E343" s="310">
        <f t="shared" si="237"/>
        <v>0</v>
      </c>
      <c r="F343" s="311">
        <v>0</v>
      </c>
      <c r="G343" s="309">
        <v>0</v>
      </c>
      <c r="H343" s="310">
        <v>0</v>
      </c>
      <c r="I343" s="329">
        <f t="shared" si="238"/>
        <v>21.46</v>
      </c>
      <c r="J343" s="309">
        <v>21.46</v>
      </c>
      <c r="K343" s="310">
        <v>0</v>
      </c>
      <c r="L343" s="311">
        <v>0</v>
      </c>
      <c r="M343" s="330" t="s">
        <v>749</v>
      </c>
    </row>
    <row r="344" s="263" customFormat="1" ht="22" customHeight="1" spans="1:13">
      <c r="A344" s="300" t="s">
        <v>750</v>
      </c>
      <c r="B344" s="301" t="s">
        <v>751</v>
      </c>
      <c r="C344" s="302"/>
      <c r="D344" s="303">
        <f t="shared" ref="D344:L344" si="241">D345</f>
        <v>11</v>
      </c>
      <c r="E344" s="304">
        <f t="shared" si="241"/>
        <v>0</v>
      </c>
      <c r="F344" s="305">
        <f t="shared" si="241"/>
        <v>0</v>
      </c>
      <c r="G344" s="303">
        <f t="shared" si="241"/>
        <v>0</v>
      </c>
      <c r="H344" s="304">
        <f t="shared" si="241"/>
        <v>0</v>
      </c>
      <c r="I344" s="327">
        <f t="shared" si="241"/>
        <v>11</v>
      </c>
      <c r="J344" s="303">
        <f t="shared" si="241"/>
        <v>1</v>
      </c>
      <c r="K344" s="304">
        <f t="shared" si="241"/>
        <v>0</v>
      </c>
      <c r="L344" s="305">
        <f t="shared" si="241"/>
        <v>10</v>
      </c>
      <c r="M344" s="328" t="s">
        <v>291</v>
      </c>
    </row>
    <row r="345" s="263" customFormat="1" ht="40" customHeight="1" spans="1:13">
      <c r="A345" s="306" t="s">
        <v>298</v>
      </c>
      <c r="B345" s="307" t="s">
        <v>298</v>
      </c>
      <c r="C345" s="308" t="s">
        <v>534</v>
      </c>
      <c r="D345" s="309">
        <f t="shared" ref="D345:D349" si="242">E345+I345</f>
        <v>11</v>
      </c>
      <c r="E345" s="310">
        <f t="shared" ref="E345:E349" si="243">SUBTOTAL(9,F345:H345)</f>
        <v>0</v>
      </c>
      <c r="F345" s="311">
        <v>0</v>
      </c>
      <c r="G345" s="309">
        <v>0</v>
      </c>
      <c r="H345" s="310">
        <v>0</v>
      </c>
      <c r="I345" s="329">
        <f t="shared" ref="I345:I349" si="244">SUBTOTAL(9,J345:L345)</f>
        <v>11</v>
      </c>
      <c r="J345" s="309">
        <v>1</v>
      </c>
      <c r="K345" s="310">
        <v>0</v>
      </c>
      <c r="L345" s="311">
        <v>10</v>
      </c>
      <c r="M345" s="330" t="s">
        <v>752</v>
      </c>
    </row>
    <row r="346" s="263" customFormat="1" ht="22" customHeight="1" spans="1:13">
      <c r="A346" s="300" t="s">
        <v>753</v>
      </c>
      <c r="B346" s="301" t="s">
        <v>754</v>
      </c>
      <c r="C346" s="302"/>
      <c r="D346" s="303">
        <f t="shared" ref="D346:L346" si="245">SUM(D347:D349)</f>
        <v>44.8018</v>
      </c>
      <c r="E346" s="304">
        <f t="shared" si="245"/>
        <v>0</v>
      </c>
      <c r="F346" s="305">
        <f t="shared" si="245"/>
        <v>0</v>
      </c>
      <c r="G346" s="303">
        <f t="shared" si="245"/>
        <v>0</v>
      </c>
      <c r="H346" s="304">
        <f t="shared" si="245"/>
        <v>0</v>
      </c>
      <c r="I346" s="327">
        <f t="shared" si="245"/>
        <v>44.8018</v>
      </c>
      <c r="J346" s="303">
        <f t="shared" si="245"/>
        <v>9.49</v>
      </c>
      <c r="K346" s="304">
        <f t="shared" si="245"/>
        <v>20.3118</v>
      </c>
      <c r="L346" s="305">
        <f t="shared" si="245"/>
        <v>15</v>
      </c>
      <c r="M346" s="328" t="s">
        <v>291</v>
      </c>
    </row>
    <row r="347" s="263" customFormat="1" ht="18.75" customHeight="1" spans="1:13">
      <c r="A347" s="306" t="s">
        <v>298</v>
      </c>
      <c r="B347" s="307" t="s">
        <v>298</v>
      </c>
      <c r="C347" s="308" t="s">
        <v>530</v>
      </c>
      <c r="D347" s="309">
        <f t="shared" si="242"/>
        <v>9</v>
      </c>
      <c r="E347" s="310">
        <f t="shared" si="243"/>
        <v>0</v>
      </c>
      <c r="F347" s="311">
        <v>0</v>
      </c>
      <c r="G347" s="309">
        <v>0</v>
      </c>
      <c r="H347" s="310">
        <v>0</v>
      </c>
      <c r="I347" s="329">
        <f t="shared" si="244"/>
        <v>9</v>
      </c>
      <c r="J347" s="309">
        <v>9</v>
      </c>
      <c r="K347" s="310">
        <v>0</v>
      </c>
      <c r="L347" s="311">
        <v>0</v>
      </c>
      <c r="M347" s="330" t="s">
        <v>755</v>
      </c>
    </row>
    <row r="348" s="263" customFormat="1" ht="28" customHeight="1" spans="1:13">
      <c r="A348" s="306" t="s">
        <v>298</v>
      </c>
      <c r="B348" s="307" t="s">
        <v>298</v>
      </c>
      <c r="C348" s="308" t="s">
        <v>534</v>
      </c>
      <c r="D348" s="309">
        <f t="shared" si="242"/>
        <v>15.49</v>
      </c>
      <c r="E348" s="310">
        <f t="shared" si="243"/>
        <v>0</v>
      </c>
      <c r="F348" s="311">
        <v>0</v>
      </c>
      <c r="G348" s="309">
        <v>0</v>
      </c>
      <c r="H348" s="310">
        <v>0</v>
      </c>
      <c r="I348" s="329">
        <f t="shared" si="244"/>
        <v>15.49</v>
      </c>
      <c r="J348" s="309">
        <v>0.49</v>
      </c>
      <c r="K348" s="310">
        <v>0</v>
      </c>
      <c r="L348" s="311">
        <v>15</v>
      </c>
      <c r="M348" s="330" t="s">
        <v>756</v>
      </c>
    </row>
    <row r="349" s="263" customFormat="1" ht="32" customHeight="1" spans="1:13">
      <c r="A349" s="306" t="s">
        <v>298</v>
      </c>
      <c r="B349" s="307" t="s">
        <v>298</v>
      </c>
      <c r="C349" s="308"/>
      <c r="D349" s="309">
        <f t="shared" si="242"/>
        <v>20.3118</v>
      </c>
      <c r="E349" s="310">
        <f t="shared" si="243"/>
        <v>0</v>
      </c>
      <c r="F349" s="311">
        <v>0</v>
      </c>
      <c r="G349" s="309">
        <v>0</v>
      </c>
      <c r="H349" s="310">
        <v>0</v>
      </c>
      <c r="I349" s="329">
        <f t="shared" si="244"/>
        <v>20.3118</v>
      </c>
      <c r="J349" s="309">
        <v>0</v>
      </c>
      <c r="K349" s="310">
        <v>20.3118</v>
      </c>
      <c r="L349" s="311">
        <v>0</v>
      </c>
      <c r="M349" s="330" t="s">
        <v>757</v>
      </c>
    </row>
    <row r="350" s="263" customFormat="1" ht="18.75" customHeight="1" spans="1:13">
      <c r="A350" s="294" t="s">
        <v>758</v>
      </c>
      <c r="B350" s="295" t="s">
        <v>759</v>
      </c>
      <c r="C350" s="296"/>
      <c r="D350" s="297">
        <f t="shared" ref="D350:L350" si="246">D351</f>
        <v>150</v>
      </c>
      <c r="E350" s="298">
        <f t="shared" si="246"/>
        <v>0</v>
      </c>
      <c r="F350" s="299">
        <f t="shared" si="246"/>
        <v>0</v>
      </c>
      <c r="G350" s="297">
        <f t="shared" si="246"/>
        <v>0</v>
      </c>
      <c r="H350" s="298">
        <f t="shared" si="246"/>
        <v>0</v>
      </c>
      <c r="I350" s="325">
        <f t="shared" si="246"/>
        <v>150</v>
      </c>
      <c r="J350" s="297">
        <f t="shared" si="246"/>
        <v>150</v>
      </c>
      <c r="K350" s="298">
        <f t="shared" si="246"/>
        <v>0</v>
      </c>
      <c r="L350" s="299">
        <f t="shared" si="246"/>
        <v>0</v>
      </c>
      <c r="M350" s="326" t="s">
        <v>291</v>
      </c>
    </row>
    <row r="351" s="263" customFormat="1" ht="22" customHeight="1" spans="1:13">
      <c r="A351" s="300" t="s">
        <v>760</v>
      </c>
      <c r="B351" s="301" t="s">
        <v>761</v>
      </c>
      <c r="C351" s="302"/>
      <c r="D351" s="303">
        <f t="shared" ref="D351:L351" si="247">D352</f>
        <v>150</v>
      </c>
      <c r="E351" s="304">
        <f t="shared" si="247"/>
        <v>0</v>
      </c>
      <c r="F351" s="305">
        <f t="shared" si="247"/>
        <v>0</v>
      </c>
      <c r="G351" s="303">
        <f t="shared" si="247"/>
        <v>0</v>
      </c>
      <c r="H351" s="304">
        <f t="shared" si="247"/>
        <v>0</v>
      </c>
      <c r="I351" s="327">
        <f t="shared" si="247"/>
        <v>150</v>
      </c>
      <c r="J351" s="303">
        <f t="shared" si="247"/>
        <v>150</v>
      </c>
      <c r="K351" s="304">
        <f t="shared" si="247"/>
        <v>0</v>
      </c>
      <c r="L351" s="305">
        <f t="shared" si="247"/>
        <v>0</v>
      </c>
      <c r="M351" s="328" t="s">
        <v>291</v>
      </c>
    </row>
    <row r="352" s="263" customFormat="1" ht="18.75" customHeight="1" spans="1:13">
      <c r="A352" s="306" t="s">
        <v>298</v>
      </c>
      <c r="B352" s="307" t="s">
        <v>298</v>
      </c>
      <c r="C352" s="308" t="s">
        <v>762</v>
      </c>
      <c r="D352" s="309">
        <f>E352+I352</f>
        <v>150</v>
      </c>
      <c r="E352" s="310">
        <f>SUBTOTAL(9,F352:H352)</f>
        <v>0</v>
      </c>
      <c r="F352" s="311">
        <v>0</v>
      </c>
      <c r="G352" s="309">
        <v>0</v>
      </c>
      <c r="H352" s="310">
        <v>0</v>
      </c>
      <c r="I352" s="329">
        <f>SUBTOTAL(9,J352:L352)</f>
        <v>150</v>
      </c>
      <c r="J352" s="309">
        <v>150</v>
      </c>
      <c r="K352" s="310">
        <v>0</v>
      </c>
      <c r="L352" s="311">
        <v>0</v>
      </c>
      <c r="M352" s="330" t="s">
        <v>763</v>
      </c>
    </row>
    <row r="353" s="263" customFormat="1" ht="18.75" customHeight="1" spans="1:13">
      <c r="A353" s="288" t="s">
        <v>764</v>
      </c>
      <c r="B353" s="289" t="s">
        <v>765</v>
      </c>
      <c r="C353" s="290"/>
      <c r="D353" s="291">
        <f t="shared" ref="D353:L353" si="248">D354+D359+D372+D375+D378+D382</f>
        <v>53981.1432</v>
      </c>
      <c r="E353" s="292">
        <f t="shared" si="248"/>
        <v>32616.5517</v>
      </c>
      <c r="F353" s="293">
        <f t="shared" si="248"/>
        <v>31084.0076</v>
      </c>
      <c r="G353" s="291">
        <f t="shared" si="248"/>
        <v>132.7125</v>
      </c>
      <c r="H353" s="292">
        <f t="shared" si="248"/>
        <v>1399.8316</v>
      </c>
      <c r="I353" s="323">
        <f t="shared" si="248"/>
        <v>21364.5915</v>
      </c>
      <c r="J353" s="291">
        <f t="shared" si="248"/>
        <v>4701.1215</v>
      </c>
      <c r="K353" s="292">
        <f t="shared" si="248"/>
        <v>0</v>
      </c>
      <c r="L353" s="293">
        <f t="shared" si="248"/>
        <v>16663.47</v>
      </c>
      <c r="M353" s="324" t="s">
        <v>291</v>
      </c>
    </row>
    <row r="354" s="263" customFormat="1" ht="18.75" customHeight="1" spans="1:13">
      <c r="A354" s="294" t="s">
        <v>766</v>
      </c>
      <c r="B354" s="295" t="s">
        <v>767</v>
      </c>
      <c r="C354" s="296"/>
      <c r="D354" s="297">
        <f t="shared" ref="D354:L354" si="249">D355+D357</f>
        <v>682.3145</v>
      </c>
      <c r="E354" s="298">
        <f t="shared" si="249"/>
        <v>590.3145</v>
      </c>
      <c r="F354" s="299">
        <f t="shared" si="249"/>
        <v>529.0323</v>
      </c>
      <c r="G354" s="297">
        <f t="shared" si="249"/>
        <v>31.008</v>
      </c>
      <c r="H354" s="298">
        <f t="shared" si="249"/>
        <v>30.2742</v>
      </c>
      <c r="I354" s="325">
        <f t="shared" si="249"/>
        <v>92</v>
      </c>
      <c r="J354" s="297">
        <f t="shared" si="249"/>
        <v>92</v>
      </c>
      <c r="K354" s="298">
        <f t="shared" si="249"/>
        <v>0</v>
      </c>
      <c r="L354" s="299">
        <f t="shared" si="249"/>
        <v>0</v>
      </c>
      <c r="M354" s="326" t="s">
        <v>291</v>
      </c>
    </row>
    <row r="355" s="263" customFormat="1" ht="22" customHeight="1" spans="1:13">
      <c r="A355" s="300" t="s">
        <v>768</v>
      </c>
      <c r="B355" s="301" t="s">
        <v>769</v>
      </c>
      <c r="C355" s="302"/>
      <c r="D355" s="303">
        <f t="shared" ref="D355:L355" si="250">D356</f>
        <v>101.443</v>
      </c>
      <c r="E355" s="304">
        <f t="shared" si="250"/>
        <v>101.443</v>
      </c>
      <c r="F355" s="305">
        <f t="shared" si="250"/>
        <v>84.1505</v>
      </c>
      <c r="G355" s="303">
        <f t="shared" si="250"/>
        <v>10.368</v>
      </c>
      <c r="H355" s="304">
        <f t="shared" si="250"/>
        <v>6.9245</v>
      </c>
      <c r="I355" s="327">
        <f t="shared" si="250"/>
        <v>0</v>
      </c>
      <c r="J355" s="303">
        <f t="shared" si="250"/>
        <v>0</v>
      </c>
      <c r="K355" s="304">
        <f t="shared" si="250"/>
        <v>0</v>
      </c>
      <c r="L355" s="305">
        <f t="shared" si="250"/>
        <v>0</v>
      </c>
      <c r="M355" s="328" t="s">
        <v>291</v>
      </c>
    </row>
    <row r="356" s="263" customFormat="1" ht="18.75" customHeight="1" spans="1:13">
      <c r="A356" s="306" t="s">
        <v>298</v>
      </c>
      <c r="B356" s="307" t="s">
        <v>298</v>
      </c>
      <c r="C356" s="308" t="s">
        <v>539</v>
      </c>
      <c r="D356" s="309">
        <f t="shared" ref="D356:D361" si="251">E356+I356</f>
        <v>101.443</v>
      </c>
      <c r="E356" s="310">
        <f t="shared" ref="E356:E361" si="252">SUBTOTAL(9,F356:H356)</f>
        <v>101.443</v>
      </c>
      <c r="F356" s="311">
        <v>84.1505</v>
      </c>
      <c r="G356" s="309">
        <v>10.368</v>
      </c>
      <c r="H356" s="310">
        <v>6.9245</v>
      </c>
      <c r="I356" s="329">
        <f t="shared" ref="I356:I361" si="253">SUBTOTAL(9,J356:L356)</f>
        <v>0</v>
      </c>
      <c r="J356" s="309">
        <v>0</v>
      </c>
      <c r="K356" s="310">
        <v>0</v>
      </c>
      <c r="L356" s="311">
        <v>0</v>
      </c>
      <c r="M356" s="330" t="s">
        <v>291</v>
      </c>
    </row>
    <row r="357" s="263" customFormat="1" ht="26" customHeight="1" spans="1:13">
      <c r="A357" s="300" t="s">
        <v>770</v>
      </c>
      <c r="B357" s="301" t="s">
        <v>771</v>
      </c>
      <c r="C357" s="302"/>
      <c r="D357" s="303">
        <f t="shared" ref="D357:L357" si="254">D358</f>
        <v>580.8715</v>
      </c>
      <c r="E357" s="304">
        <f t="shared" si="254"/>
        <v>488.8715</v>
      </c>
      <c r="F357" s="305">
        <f t="shared" si="254"/>
        <v>444.8818</v>
      </c>
      <c r="G357" s="303">
        <f t="shared" si="254"/>
        <v>20.64</v>
      </c>
      <c r="H357" s="304">
        <f t="shared" si="254"/>
        <v>23.3497</v>
      </c>
      <c r="I357" s="327">
        <f t="shared" si="254"/>
        <v>92</v>
      </c>
      <c r="J357" s="303">
        <f t="shared" si="254"/>
        <v>92</v>
      </c>
      <c r="K357" s="304">
        <f t="shared" si="254"/>
        <v>0</v>
      </c>
      <c r="L357" s="305">
        <f t="shared" si="254"/>
        <v>0</v>
      </c>
      <c r="M357" s="328" t="s">
        <v>291</v>
      </c>
    </row>
    <row r="358" s="263" customFormat="1" ht="179" customHeight="1" spans="1:13">
      <c r="A358" s="306" t="s">
        <v>298</v>
      </c>
      <c r="B358" s="307" t="s">
        <v>298</v>
      </c>
      <c r="C358" s="308" t="s">
        <v>539</v>
      </c>
      <c r="D358" s="309">
        <f t="shared" si="251"/>
        <v>580.8715</v>
      </c>
      <c r="E358" s="310">
        <f t="shared" si="252"/>
        <v>488.8715</v>
      </c>
      <c r="F358" s="311">
        <v>444.8818</v>
      </c>
      <c r="G358" s="309">
        <v>20.64</v>
      </c>
      <c r="H358" s="310">
        <v>23.3497</v>
      </c>
      <c r="I358" s="329">
        <f t="shared" si="253"/>
        <v>92</v>
      </c>
      <c r="J358" s="309">
        <v>92</v>
      </c>
      <c r="K358" s="310">
        <v>0</v>
      </c>
      <c r="L358" s="311">
        <v>0</v>
      </c>
      <c r="M358" s="330" t="s">
        <v>772</v>
      </c>
    </row>
    <row r="359" s="263" customFormat="1" ht="18.75" customHeight="1" spans="1:13">
      <c r="A359" s="294" t="s">
        <v>773</v>
      </c>
      <c r="B359" s="295" t="s">
        <v>774</v>
      </c>
      <c r="C359" s="296"/>
      <c r="D359" s="297">
        <f t="shared" ref="D359:L359" si="255">D360+D362+D364+D366+D368+D370</f>
        <v>51568.0396</v>
      </c>
      <c r="E359" s="298">
        <f t="shared" si="255"/>
        <v>31167.0081</v>
      </c>
      <c r="F359" s="299">
        <f t="shared" si="255"/>
        <v>29757.1601</v>
      </c>
      <c r="G359" s="297">
        <f t="shared" si="255"/>
        <v>85.8772</v>
      </c>
      <c r="H359" s="298">
        <f t="shared" si="255"/>
        <v>1323.9708</v>
      </c>
      <c r="I359" s="325">
        <f t="shared" si="255"/>
        <v>20401.0315</v>
      </c>
      <c r="J359" s="297">
        <f t="shared" si="255"/>
        <v>3879.8415</v>
      </c>
      <c r="K359" s="298">
        <f t="shared" si="255"/>
        <v>0</v>
      </c>
      <c r="L359" s="299">
        <f t="shared" si="255"/>
        <v>16521.19</v>
      </c>
      <c r="M359" s="326" t="s">
        <v>291</v>
      </c>
    </row>
    <row r="360" s="263" customFormat="1" ht="22" customHeight="1" spans="1:13">
      <c r="A360" s="300" t="s">
        <v>775</v>
      </c>
      <c r="B360" s="301" t="s">
        <v>776</v>
      </c>
      <c r="C360" s="302"/>
      <c r="D360" s="303">
        <f t="shared" ref="D360:L360" si="256">D361</f>
        <v>4928.3538</v>
      </c>
      <c r="E360" s="304">
        <f t="shared" si="256"/>
        <v>797.5938</v>
      </c>
      <c r="F360" s="305">
        <f t="shared" si="256"/>
        <v>776.3456</v>
      </c>
      <c r="G360" s="303">
        <f t="shared" si="256"/>
        <v>0</v>
      </c>
      <c r="H360" s="304">
        <f t="shared" si="256"/>
        <v>21.2482</v>
      </c>
      <c r="I360" s="327">
        <f t="shared" si="256"/>
        <v>4130.76</v>
      </c>
      <c r="J360" s="303">
        <f t="shared" si="256"/>
        <v>2302.59</v>
      </c>
      <c r="K360" s="304">
        <f t="shared" si="256"/>
        <v>0</v>
      </c>
      <c r="L360" s="305">
        <f t="shared" si="256"/>
        <v>1828.17</v>
      </c>
      <c r="M360" s="328" t="s">
        <v>291</v>
      </c>
    </row>
    <row r="361" s="263" customFormat="1" ht="71" customHeight="1" spans="1:13">
      <c r="A361" s="306" t="s">
        <v>298</v>
      </c>
      <c r="B361" s="307" t="s">
        <v>298</v>
      </c>
      <c r="C361" s="308" t="s">
        <v>539</v>
      </c>
      <c r="D361" s="309">
        <f t="shared" si="251"/>
        <v>4928.3538</v>
      </c>
      <c r="E361" s="310">
        <f t="shared" si="252"/>
        <v>797.5938</v>
      </c>
      <c r="F361" s="311">
        <v>776.3456</v>
      </c>
      <c r="G361" s="309">
        <v>0</v>
      </c>
      <c r="H361" s="310">
        <v>21.2482</v>
      </c>
      <c r="I361" s="329">
        <f t="shared" si="253"/>
        <v>4130.76</v>
      </c>
      <c r="J361" s="309">
        <v>2302.59</v>
      </c>
      <c r="K361" s="310">
        <v>0</v>
      </c>
      <c r="L361" s="311">
        <v>1828.17</v>
      </c>
      <c r="M361" s="330" t="s">
        <v>777</v>
      </c>
    </row>
    <row r="362" s="263" customFormat="1" ht="22" customHeight="1" spans="1:13">
      <c r="A362" s="300" t="s">
        <v>778</v>
      </c>
      <c r="B362" s="301" t="s">
        <v>779</v>
      </c>
      <c r="C362" s="302"/>
      <c r="D362" s="303">
        <f t="shared" ref="D362:L362" si="257">D363</f>
        <v>17571.9405</v>
      </c>
      <c r="E362" s="304">
        <f t="shared" si="257"/>
        <v>17479.5305</v>
      </c>
      <c r="F362" s="305">
        <f t="shared" si="257"/>
        <v>16429.8887</v>
      </c>
      <c r="G362" s="303">
        <f t="shared" si="257"/>
        <v>59.3456</v>
      </c>
      <c r="H362" s="304">
        <f t="shared" si="257"/>
        <v>990.2962</v>
      </c>
      <c r="I362" s="327">
        <f t="shared" si="257"/>
        <v>92.41</v>
      </c>
      <c r="J362" s="303">
        <f t="shared" si="257"/>
        <v>92.41</v>
      </c>
      <c r="K362" s="304">
        <f t="shared" si="257"/>
        <v>0</v>
      </c>
      <c r="L362" s="305">
        <f t="shared" si="257"/>
        <v>0</v>
      </c>
      <c r="M362" s="328" t="s">
        <v>291</v>
      </c>
    </row>
    <row r="363" s="263" customFormat="1" ht="151" customHeight="1" spans="1:13">
      <c r="A363" s="306" t="s">
        <v>298</v>
      </c>
      <c r="B363" s="307" t="s">
        <v>298</v>
      </c>
      <c r="C363" s="308" t="s">
        <v>539</v>
      </c>
      <c r="D363" s="309">
        <f t="shared" ref="D363:D367" si="258">E363+I363</f>
        <v>17571.9405</v>
      </c>
      <c r="E363" s="310">
        <f t="shared" ref="E363:E367" si="259">SUBTOTAL(9,F363:H363)</f>
        <v>17479.5305</v>
      </c>
      <c r="F363" s="311">
        <v>16429.8887</v>
      </c>
      <c r="G363" s="309">
        <v>59.3456</v>
      </c>
      <c r="H363" s="310">
        <v>990.2962</v>
      </c>
      <c r="I363" s="329">
        <f t="shared" ref="I363:I367" si="260">SUBTOTAL(9,J363:L363)</f>
        <v>92.41</v>
      </c>
      <c r="J363" s="309">
        <v>92.41</v>
      </c>
      <c r="K363" s="310">
        <v>0</v>
      </c>
      <c r="L363" s="311">
        <v>0</v>
      </c>
      <c r="M363" s="330" t="s">
        <v>780</v>
      </c>
    </row>
    <row r="364" s="263" customFormat="1" ht="22" customHeight="1" spans="1:13">
      <c r="A364" s="300" t="s">
        <v>781</v>
      </c>
      <c r="B364" s="301" t="s">
        <v>782</v>
      </c>
      <c r="C364" s="302"/>
      <c r="D364" s="303">
        <f t="shared" ref="D364:L364" si="261">D365</f>
        <v>9237.4078</v>
      </c>
      <c r="E364" s="304">
        <f t="shared" si="261"/>
        <v>8831.0978</v>
      </c>
      <c r="F364" s="305">
        <f t="shared" si="261"/>
        <v>8571.3083</v>
      </c>
      <c r="G364" s="303">
        <f t="shared" si="261"/>
        <v>26.5316</v>
      </c>
      <c r="H364" s="304">
        <f t="shared" si="261"/>
        <v>233.2579</v>
      </c>
      <c r="I364" s="327">
        <f t="shared" si="261"/>
        <v>406.31</v>
      </c>
      <c r="J364" s="303">
        <f t="shared" si="261"/>
        <v>406.31</v>
      </c>
      <c r="K364" s="304">
        <f t="shared" si="261"/>
        <v>0</v>
      </c>
      <c r="L364" s="305">
        <f t="shared" si="261"/>
        <v>0</v>
      </c>
      <c r="M364" s="328" t="s">
        <v>291</v>
      </c>
    </row>
    <row r="365" s="263" customFormat="1" ht="160" customHeight="1" spans="1:13">
      <c r="A365" s="306" t="s">
        <v>298</v>
      </c>
      <c r="B365" s="307" t="s">
        <v>298</v>
      </c>
      <c r="C365" s="308" t="s">
        <v>539</v>
      </c>
      <c r="D365" s="309">
        <f t="shared" si="258"/>
        <v>9237.4078</v>
      </c>
      <c r="E365" s="310">
        <f t="shared" si="259"/>
        <v>8831.0978</v>
      </c>
      <c r="F365" s="311">
        <v>8571.3083</v>
      </c>
      <c r="G365" s="309">
        <v>26.5316</v>
      </c>
      <c r="H365" s="310">
        <v>233.2579</v>
      </c>
      <c r="I365" s="329">
        <f t="shared" si="260"/>
        <v>406.31</v>
      </c>
      <c r="J365" s="309">
        <v>406.31</v>
      </c>
      <c r="K365" s="310">
        <v>0</v>
      </c>
      <c r="L365" s="311">
        <v>0</v>
      </c>
      <c r="M365" s="330" t="s">
        <v>783</v>
      </c>
    </row>
    <row r="366" s="263" customFormat="1" ht="22" customHeight="1" spans="1:13">
      <c r="A366" s="300" t="s">
        <v>784</v>
      </c>
      <c r="B366" s="301" t="s">
        <v>785</v>
      </c>
      <c r="C366" s="302"/>
      <c r="D366" s="303">
        <f t="shared" ref="D366:L366" si="262">D367</f>
        <v>5142.9513</v>
      </c>
      <c r="E366" s="304">
        <f t="shared" si="262"/>
        <v>3550.0198</v>
      </c>
      <c r="F366" s="305">
        <f t="shared" si="262"/>
        <v>3470.8513</v>
      </c>
      <c r="G366" s="303">
        <f t="shared" si="262"/>
        <v>0</v>
      </c>
      <c r="H366" s="304">
        <f t="shared" si="262"/>
        <v>79.1685</v>
      </c>
      <c r="I366" s="327">
        <f t="shared" si="262"/>
        <v>1592.9315</v>
      </c>
      <c r="J366" s="303">
        <f t="shared" si="262"/>
        <v>637.0315</v>
      </c>
      <c r="K366" s="304">
        <f t="shared" si="262"/>
        <v>0</v>
      </c>
      <c r="L366" s="305">
        <f t="shared" si="262"/>
        <v>955.9</v>
      </c>
      <c r="M366" s="328" t="s">
        <v>291</v>
      </c>
    </row>
    <row r="367" s="263" customFormat="1" ht="145" customHeight="1" spans="1:13">
      <c r="A367" s="306" t="s">
        <v>298</v>
      </c>
      <c r="B367" s="307" t="s">
        <v>298</v>
      </c>
      <c r="C367" s="308" t="s">
        <v>539</v>
      </c>
      <c r="D367" s="309">
        <f t="shared" si="258"/>
        <v>5142.9513</v>
      </c>
      <c r="E367" s="310">
        <f t="shared" si="259"/>
        <v>3550.0198</v>
      </c>
      <c r="F367" s="311">
        <v>3470.8513</v>
      </c>
      <c r="G367" s="309">
        <v>0</v>
      </c>
      <c r="H367" s="310">
        <v>79.1685</v>
      </c>
      <c r="I367" s="329">
        <f t="shared" si="260"/>
        <v>1592.9315</v>
      </c>
      <c r="J367" s="309">
        <v>637.0315</v>
      </c>
      <c r="K367" s="310">
        <v>0</v>
      </c>
      <c r="L367" s="311">
        <v>955.9</v>
      </c>
      <c r="M367" s="330" t="s">
        <v>786</v>
      </c>
    </row>
    <row r="368" s="263" customFormat="1" ht="22" customHeight="1" spans="1:13">
      <c r="A368" s="300" t="s">
        <v>787</v>
      </c>
      <c r="B368" s="301" t="s">
        <v>788</v>
      </c>
      <c r="C368" s="302"/>
      <c r="D368" s="303">
        <f t="shared" ref="D368:L368" si="263">D369</f>
        <v>158.23</v>
      </c>
      <c r="E368" s="304">
        <f t="shared" si="263"/>
        <v>0</v>
      </c>
      <c r="F368" s="305">
        <f t="shared" si="263"/>
        <v>0</v>
      </c>
      <c r="G368" s="303">
        <f t="shared" si="263"/>
        <v>0</v>
      </c>
      <c r="H368" s="304">
        <f t="shared" si="263"/>
        <v>0</v>
      </c>
      <c r="I368" s="327">
        <f t="shared" si="263"/>
        <v>158.23</v>
      </c>
      <c r="J368" s="303">
        <f t="shared" si="263"/>
        <v>0</v>
      </c>
      <c r="K368" s="304">
        <f t="shared" si="263"/>
        <v>0</v>
      </c>
      <c r="L368" s="305">
        <f t="shared" si="263"/>
        <v>158.23</v>
      </c>
      <c r="M368" s="328" t="s">
        <v>291</v>
      </c>
    </row>
    <row r="369" s="263" customFormat="1" ht="67" customHeight="1" spans="1:13">
      <c r="A369" s="306" t="s">
        <v>298</v>
      </c>
      <c r="B369" s="307" t="s">
        <v>298</v>
      </c>
      <c r="C369" s="308" t="s">
        <v>539</v>
      </c>
      <c r="D369" s="309">
        <f t="shared" ref="D369:D374" si="264">E369+I369</f>
        <v>158.23</v>
      </c>
      <c r="E369" s="310">
        <f t="shared" ref="E369:E374" si="265">SUBTOTAL(9,F369:H369)</f>
        <v>0</v>
      </c>
      <c r="F369" s="311">
        <v>0</v>
      </c>
      <c r="G369" s="309">
        <v>0</v>
      </c>
      <c r="H369" s="310">
        <v>0</v>
      </c>
      <c r="I369" s="329">
        <f t="shared" ref="I369:I374" si="266">SUBTOTAL(9,J369:L369)</f>
        <v>158.23</v>
      </c>
      <c r="J369" s="309">
        <v>0</v>
      </c>
      <c r="K369" s="310">
        <v>0</v>
      </c>
      <c r="L369" s="311">
        <v>158.23</v>
      </c>
      <c r="M369" s="330" t="s">
        <v>789</v>
      </c>
    </row>
    <row r="370" s="263" customFormat="1" ht="25" customHeight="1" spans="1:13">
      <c r="A370" s="300" t="s">
        <v>790</v>
      </c>
      <c r="B370" s="301" t="s">
        <v>791</v>
      </c>
      <c r="C370" s="302"/>
      <c r="D370" s="303">
        <f t="shared" ref="D370:L370" si="267">D371</f>
        <v>14529.1562</v>
      </c>
      <c r="E370" s="304">
        <f t="shared" si="267"/>
        <v>508.7662</v>
      </c>
      <c r="F370" s="305">
        <f t="shared" si="267"/>
        <v>508.7662</v>
      </c>
      <c r="G370" s="303">
        <f t="shared" si="267"/>
        <v>0</v>
      </c>
      <c r="H370" s="304">
        <f t="shared" si="267"/>
        <v>0</v>
      </c>
      <c r="I370" s="327">
        <f t="shared" si="267"/>
        <v>14020.39</v>
      </c>
      <c r="J370" s="303">
        <f t="shared" si="267"/>
        <v>441.5</v>
      </c>
      <c r="K370" s="304">
        <f t="shared" si="267"/>
        <v>0</v>
      </c>
      <c r="L370" s="305">
        <f t="shared" si="267"/>
        <v>13578.89</v>
      </c>
      <c r="M370" s="328" t="s">
        <v>291</v>
      </c>
    </row>
    <row r="371" s="263" customFormat="1" ht="393" customHeight="1" spans="1:13">
      <c r="A371" s="306" t="s">
        <v>298</v>
      </c>
      <c r="B371" s="307" t="s">
        <v>298</v>
      </c>
      <c r="C371" s="308" t="s">
        <v>539</v>
      </c>
      <c r="D371" s="309">
        <f t="shared" si="264"/>
        <v>14529.1562</v>
      </c>
      <c r="E371" s="310">
        <f t="shared" si="265"/>
        <v>508.7662</v>
      </c>
      <c r="F371" s="311">
        <v>508.7662</v>
      </c>
      <c r="G371" s="309">
        <v>0</v>
      </c>
      <c r="H371" s="310">
        <v>0</v>
      </c>
      <c r="I371" s="329">
        <f t="shared" si="266"/>
        <v>14020.39</v>
      </c>
      <c r="J371" s="309">
        <v>441.5</v>
      </c>
      <c r="K371" s="310">
        <v>0</v>
      </c>
      <c r="L371" s="311">
        <v>13578.89</v>
      </c>
      <c r="M371" s="330" t="s">
        <v>792</v>
      </c>
    </row>
    <row r="372" s="263" customFormat="1" ht="18.75" customHeight="1" spans="1:13">
      <c r="A372" s="294" t="s">
        <v>793</v>
      </c>
      <c r="B372" s="295" t="s">
        <v>794</v>
      </c>
      <c r="C372" s="296"/>
      <c r="D372" s="297">
        <f t="shared" ref="D372:L372" si="268">D373</f>
        <v>677.5146</v>
      </c>
      <c r="E372" s="298">
        <f t="shared" si="268"/>
        <v>501.0946</v>
      </c>
      <c r="F372" s="299">
        <f t="shared" si="268"/>
        <v>465.3178</v>
      </c>
      <c r="G372" s="297">
        <f t="shared" si="268"/>
        <v>7.9097</v>
      </c>
      <c r="H372" s="298">
        <f t="shared" si="268"/>
        <v>27.8671</v>
      </c>
      <c r="I372" s="325">
        <f t="shared" si="268"/>
        <v>176.42</v>
      </c>
      <c r="J372" s="297">
        <f t="shared" si="268"/>
        <v>34.14</v>
      </c>
      <c r="K372" s="298">
        <f t="shared" si="268"/>
        <v>0</v>
      </c>
      <c r="L372" s="299">
        <f t="shared" si="268"/>
        <v>142.28</v>
      </c>
      <c r="M372" s="326" t="s">
        <v>291</v>
      </c>
    </row>
    <row r="373" s="263" customFormat="1" ht="22" customHeight="1" spans="1:13">
      <c r="A373" s="300" t="s">
        <v>795</v>
      </c>
      <c r="B373" s="301" t="s">
        <v>796</v>
      </c>
      <c r="C373" s="302"/>
      <c r="D373" s="303">
        <f t="shared" ref="D373:L373" si="269">D374</f>
        <v>677.5146</v>
      </c>
      <c r="E373" s="304">
        <f t="shared" si="269"/>
        <v>501.0946</v>
      </c>
      <c r="F373" s="305">
        <f t="shared" si="269"/>
        <v>465.3178</v>
      </c>
      <c r="G373" s="303">
        <f t="shared" si="269"/>
        <v>7.9097</v>
      </c>
      <c r="H373" s="304">
        <f t="shared" si="269"/>
        <v>27.8671</v>
      </c>
      <c r="I373" s="327">
        <f t="shared" si="269"/>
        <v>176.42</v>
      </c>
      <c r="J373" s="303">
        <f t="shared" si="269"/>
        <v>34.14</v>
      </c>
      <c r="K373" s="304">
        <f t="shared" si="269"/>
        <v>0</v>
      </c>
      <c r="L373" s="305">
        <f t="shared" si="269"/>
        <v>142.28</v>
      </c>
      <c r="M373" s="328" t="s">
        <v>291</v>
      </c>
    </row>
    <row r="374" s="263" customFormat="1" ht="90" customHeight="1" spans="1:13">
      <c r="A374" s="306" t="s">
        <v>298</v>
      </c>
      <c r="B374" s="307" t="s">
        <v>298</v>
      </c>
      <c r="C374" s="308" t="s">
        <v>539</v>
      </c>
      <c r="D374" s="309">
        <f t="shared" si="264"/>
        <v>677.5146</v>
      </c>
      <c r="E374" s="310">
        <f t="shared" si="265"/>
        <v>501.0946</v>
      </c>
      <c r="F374" s="311">
        <v>465.3178</v>
      </c>
      <c r="G374" s="309">
        <v>7.9097</v>
      </c>
      <c r="H374" s="310">
        <v>27.8671</v>
      </c>
      <c r="I374" s="329">
        <f t="shared" si="266"/>
        <v>176.42</v>
      </c>
      <c r="J374" s="309">
        <v>34.14</v>
      </c>
      <c r="K374" s="310">
        <v>0</v>
      </c>
      <c r="L374" s="311">
        <v>142.28</v>
      </c>
      <c r="M374" s="330" t="s">
        <v>797</v>
      </c>
    </row>
    <row r="375" s="263" customFormat="1" ht="18.75" customHeight="1" spans="1:13">
      <c r="A375" s="294" t="s">
        <v>798</v>
      </c>
      <c r="B375" s="295" t="s">
        <v>799</v>
      </c>
      <c r="C375" s="296"/>
      <c r="D375" s="297">
        <f t="shared" ref="D375:L375" si="270">D376</f>
        <v>242.673</v>
      </c>
      <c r="E375" s="298">
        <f t="shared" si="270"/>
        <v>242.673</v>
      </c>
      <c r="F375" s="299">
        <f t="shared" si="270"/>
        <v>233.9986</v>
      </c>
      <c r="G375" s="297">
        <f t="shared" si="270"/>
        <v>0.0676</v>
      </c>
      <c r="H375" s="298">
        <f t="shared" si="270"/>
        <v>8.6068</v>
      </c>
      <c r="I375" s="325">
        <f t="shared" si="270"/>
        <v>0</v>
      </c>
      <c r="J375" s="297">
        <f t="shared" si="270"/>
        <v>0</v>
      </c>
      <c r="K375" s="298">
        <f t="shared" si="270"/>
        <v>0</v>
      </c>
      <c r="L375" s="299">
        <f t="shared" si="270"/>
        <v>0</v>
      </c>
      <c r="M375" s="326" t="s">
        <v>291</v>
      </c>
    </row>
    <row r="376" s="263" customFormat="1" ht="22" customHeight="1" spans="1:13">
      <c r="A376" s="300" t="s">
        <v>800</v>
      </c>
      <c r="B376" s="301" t="s">
        <v>801</v>
      </c>
      <c r="C376" s="302"/>
      <c r="D376" s="303">
        <f t="shared" ref="D376:L376" si="271">D377</f>
        <v>242.673</v>
      </c>
      <c r="E376" s="304">
        <f t="shared" si="271"/>
        <v>242.673</v>
      </c>
      <c r="F376" s="305">
        <f t="shared" si="271"/>
        <v>233.9986</v>
      </c>
      <c r="G376" s="303">
        <f t="shared" si="271"/>
        <v>0.0676</v>
      </c>
      <c r="H376" s="304">
        <f t="shared" si="271"/>
        <v>8.6068</v>
      </c>
      <c r="I376" s="327">
        <f t="shared" si="271"/>
        <v>0</v>
      </c>
      <c r="J376" s="303">
        <f t="shared" si="271"/>
        <v>0</v>
      </c>
      <c r="K376" s="304">
        <f t="shared" si="271"/>
        <v>0</v>
      </c>
      <c r="L376" s="305">
        <f t="shared" si="271"/>
        <v>0</v>
      </c>
      <c r="M376" s="328" t="s">
        <v>291</v>
      </c>
    </row>
    <row r="377" s="263" customFormat="1" ht="18.75" customHeight="1" spans="1:13">
      <c r="A377" s="306" t="s">
        <v>298</v>
      </c>
      <c r="B377" s="307" t="s">
        <v>298</v>
      </c>
      <c r="C377" s="308" t="s">
        <v>539</v>
      </c>
      <c r="D377" s="309">
        <f t="shared" ref="D377:D381" si="272">E377+I377</f>
        <v>242.673</v>
      </c>
      <c r="E377" s="310">
        <f t="shared" ref="E377:E381" si="273">SUBTOTAL(9,F377:H377)</f>
        <v>242.673</v>
      </c>
      <c r="F377" s="311">
        <v>233.9986</v>
      </c>
      <c r="G377" s="309">
        <v>0.0676</v>
      </c>
      <c r="H377" s="310">
        <v>8.6068</v>
      </c>
      <c r="I377" s="329">
        <f t="shared" ref="I377:I381" si="274">SUBTOTAL(9,J377:L377)</f>
        <v>0</v>
      </c>
      <c r="J377" s="309">
        <v>0</v>
      </c>
      <c r="K377" s="310">
        <v>0</v>
      </c>
      <c r="L377" s="311">
        <v>0</v>
      </c>
      <c r="M377" s="330" t="s">
        <v>291</v>
      </c>
    </row>
    <row r="378" s="263" customFormat="1" ht="18.75" customHeight="1" spans="1:13">
      <c r="A378" s="294" t="s">
        <v>802</v>
      </c>
      <c r="B378" s="295" t="s">
        <v>803</v>
      </c>
      <c r="C378" s="296"/>
      <c r="D378" s="297">
        <f t="shared" ref="D378:L378" si="275">D379</f>
        <v>235.0615</v>
      </c>
      <c r="E378" s="298">
        <f t="shared" si="275"/>
        <v>115.4615</v>
      </c>
      <c r="F378" s="299">
        <f t="shared" si="275"/>
        <v>98.4988</v>
      </c>
      <c r="G378" s="297">
        <f t="shared" si="275"/>
        <v>7.85</v>
      </c>
      <c r="H378" s="298">
        <f t="shared" si="275"/>
        <v>9.1127</v>
      </c>
      <c r="I378" s="325">
        <f t="shared" si="275"/>
        <v>119.6</v>
      </c>
      <c r="J378" s="297">
        <f t="shared" si="275"/>
        <v>119.6</v>
      </c>
      <c r="K378" s="298">
        <f t="shared" si="275"/>
        <v>0</v>
      </c>
      <c r="L378" s="299">
        <f t="shared" si="275"/>
        <v>0</v>
      </c>
      <c r="M378" s="326" t="s">
        <v>291</v>
      </c>
    </row>
    <row r="379" s="263" customFormat="1" ht="22" customHeight="1" spans="1:13">
      <c r="A379" s="300" t="s">
        <v>804</v>
      </c>
      <c r="B379" s="301" t="s">
        <v>805</v>
      </c>
      <c r="C379" s="302"/>
      <c r="D379" s="303">
        <f t="shared" ref="D379:L379" si="276">SUM(D380:D381)</f>
        <v>235.0615</v>
      </c>
      <c r="E379" s="304">
        <f t="shared" si="276"/>
        <v>115.4615</v>
      </c>
      <c r="F379" s="305">
        <f t="shared" si="276"/>
        <v>98.4988</v>
      </c>
      <c r="G379" s="303">
        <f t="shared" si="276"/>
        <v>7.85</v>
      </c>
      <c r="H379" s="304">
        <f t="shared" si="276"/>
        <v>9.1127</v>
      </c>
      <c r="I379" s="327">
        <f t="shared" si="276"/>
        <v>119.6</v>
      </c>
      <c r="J379" s="303">
        <f t="shared" si="276"/>
        <v>119.6</v>
      </c>
      <c r="K379" s="304">
        <f t="shared" si="276"/>
        <v>0</v>
      </c>
      <c r="L379" s="305">
        <f t="shared" si="276"/>
        <v>0</v>
      </c>
      <c r="M379" s="328" t="s">
        <v>291</v>
      </c>
    </row>
    <row r="380" s="263" customFormat="1" ht="79" customHeight="1" spans="1:13">
      <c r="A380" s="306" t="s">
        <v>298</v>
      </c>
      <c r="B380" s="307" t="s">
        <v>298</v>
      </c>
      <c r="C380" s="308" t="s">
        <v>543</v>
      </c>
      <c r="D380" s="309">
        <f t="shared" si="272"/>
        <v>135.0615</v>
      </c>
      <c r="E380" s="310">
        <f t="shared" si="273"/>
        <v>115.4615</v>
      </c>
      <c r="F380" s="311">
        <v>98.4988</v>
      </c>
      <c r="G380" s="309">
        <v>7.85</v>
      </c>
      <c r="H380" s="310">
        <v>9.1127</v>
      </c>
      <c r="I380" s="329">
        <f t="shared" si="274"/>
        <v>19.6</v>
      </c>
      <c r="J380" s="309">
        <v>19.6</v>
      </c>
      <c r="K380" s="310">
        <v>0</v>
      </c>
      <c r="L380" s="311">
        <v>0</v>
      </c>
      <c r="M380" s="330" t="s">
        <v>806</v>
      </c>
    </row>
    <row r="381" s="263" customFormat="1" ht="18.75" customHeight="1" spans="1:13">
      <c r="A381" s="306" t="s">
        <v>298</v>
      </c>
      <c r="B381" s="307" t="s">
        <v>298</v>
      </c>
      <c r="C381" s="308"/>
      <c r="D381" s="309">
        <f t="shared" si="272"/>
        <v>100</v>
      </c>
      <c r="E381" s="310">
        <f t="shared" si="273"/>
        <v>0</v>
      </c>
      <c r="F381" s="311">
        <v>0</v>
      </c>
      <c r="G381" s="309">
        <v>0</v>
      </c>
      <c r="H381" s="310">
        <v>0</v>
      </c>
      <c r="I381" s="329">
        <f t="shared" si="274"/>
        <v>100</v>
      </c>
      <c r="J381" s="309">
        <v>100</v>
      </c>
      <c r="K381" s="310">
        <v>0</v>
      </c>
      <c r="L381" s="311">
        <v>0</v>
      </c>
      <c r="M381" s="330" t="s">
        <v>807</v>
      </c>
    </row>
    <row r="382" s="263" customFormat="1" ht="24" customHeight="1" spans="1:13">
      <c r="A382" s="294" t="s">
        <v>808</v>
      </c>
      <c r="B382" s="295" t="s">
        <v>809</v>
      </c>
      <c r="C382" s="296"/>
      <c r="D382" s="297">
        <f t="shared" ref="D382:L382" si="277">D383</f>
        <v>575.54</v>
      </c>
      <c r="E382" s="298">
        <f t="shared" si="277"/>
        <v>0</v>
      </c>
      <c r="F382" s="299">
        <f t="shared" si="277"/>
        <v>0</v>
      </c>
      <c r="G382" s="297">
        <f t="shared" si="277"/>
        <v>0</v>
      </c>
      <c r="H382" s="298">
        <f t="shared" si="277"/>
        <v>0</v>
      </c>
      <c r="I382" s="325">
        <f t="shared" si="277"/>
        <v>575.54</v>
      </c>
      <c r="J382" s="297">
        <f t="shared" si="277"/>
        <v>575.54</v>
      </c>
      <c r="K382" s="298">
        <f t="shared" si="277"/>
        <v>0</v>
      </c>
      <c r="L382" s="299">
        <f t="shared" si="277"/>
        <v>0</v>
      </c>
      <c r="M382" s="326" t="s">
        <v>291</v>
      </c>
    </row>
    <row r="383" s="263" customFormat="1" ht="34" customHeight="1" spans="1:13">
      <c r="A383" s="300" t="s">
        <v>810</v>
      </c>
      <c r="B383" s="301" t="s">
        <v>811</v>
      </c>
      <c r="C383" s="302"/>
      <c r="D383" s="303">
        <f t="shared" ref="D383:L383" si="278">D384</f>
        <v>575.54</v>
      </c>
      <c r="E383" s="304">
        <f t="shared" si="278"/>
        <v>0</v>
      </c>
      <c r="F383" s="305">
        <f t="shared" si="278"/>
        <v>0</v>
      </c>
      <c r="G383" s="303">
        <f t="shared" si="278"/>
        <v>0</v>
      </c>
      <c r="H383" s="304">
        <f t="shared" si="278"/>
        <v>0</v>
      </c>
      <c r="I383" s="327">
        <f t="shared" si="278"/>
        <v>575.54</v>
      </c>
      <c r="J383" s="303">
        <f t="shared" si="278"/>
        <v>575.54</v>
      </c>
      <c r="K383" s="304">
        <f t="shared" si="278"/>
        <v>0</v>
      </c>
      <c r="L383" s="305">
        <f t="shared" si="278"/>
        <v>0</v>
      </c>
      <c r="M383" s="328" t="s">
        <v>291</v>
      </c>
    </row>
    <row r="384" s="263" customFormat="1" ht="24" customHeight="1" spans="1:13">
      <c r="A384" s="306" t="s">
        <v>298</v>
      </c>
      <c r="B384" s="307" t="s">
        <v>298</v>
      </c>
      <c r="C384" s="308" t="s">
        <v>539</v>
      </c>
      <c r="D384" s="309">
        <f>E384+I384</f>
        <v>575.54</v>
      </c>
      <c r="E384" s="310">
        <f>SUBTOTAL(9,F384:H384)</f>
        <v>0</v>
      </c>
      <c r="F384" s="311">
        <v>0</v>
      </c>
      <c r="G384" s="309">
        <v>0</v>
      </c>
      <c r="H384" s="310">
        <v>0</v>
      </c>
      <c r="I384" s="329">
        <f>SUBTOTAL(9,J384:L384)</f>
        <v>575.54</v>
      </c>
      <c r="J384" s="309">
        <v>575.54</v>
      </c>
      <c r="K384" s="310">
        <v>0</v>
      </c>
      <c r="L384" s="311">
        <v>0</v>
      </c>
      <c r="M384" s="330" t="s">
        <v>812</v>
      </c>
    </row>
    <row r="385" s="263" customFormat="1" ht="18.75" customHeight="1" spans="1:13">
      <c r="A385" s="288" t="s">
        <v>813</v>
      </c>
      <c r="B385" s="289" t="s">
        <v>814</v>
      </c>
      <c r="C385" s="290"/>
      <c r="D385" s="291">
        <f t="shared" ref="D385:L385" si="279">D386+D389</f>
        <v>482.3657</v>
      </c>
      <c r="E385" s="292">
        <f t="shared" si="279"/>
        <v>66.4557</v>
      </c>
      <c r="F385" s="293">
        <f t="shared" si="279"/>
        <v>56.7597</v>
      </c>
      <c r="G385" s="291">
        <f t="shared" si="279"/>
        <v>8.496</v>
      </c>
      <c r="H385" s="292">
        <f t="shared" si="279"/>
        <v>1.2</v>
      </c>
      <c r="I385" s="323">
        <f t="shared" si="279"/>
        <v>415.91</v>
      </c>
      <c r="J385" s="291">
        <f t="shared" si="279"/>
        <v>415.91</v>
      </c>
      <c r="K385" s="292">
        <f t="shared" si="279"/>
        <v>0</v>
      </c>
      <c r="L385" s="293">
        <f t="shared" si="279"/>
        <v>0</v>
      </c>
      <c r="M385" s="324" t="s">
        <v>291</v>
      </c>
    </row>
    <row r="386" s="263" customFormat="1" ht="18.75" customHeight="1" spans="1:13">
      <c r="A386" s="294" t="s">
        <v>815</v>
      </c>
      <c r="B386" s="295" t="s">
        <v>816</v>
      </c>
      <c r="C386" s="296"/>
      <c r="D386" s="297">
        <f t="shared" ref="D386:L386" si="280">D387</f>
        <v>400</v>
      </c>
      <c r="E386" s="298">
        <f t="shared" si="280"/>
        <v>0</v>
      </c>
      <c r="F386" s="299">
        <f t="shared" si="280"/>
        <v>0</v>
      </c>
      <c r="G386" s="297">
        <f t="shared" si="280"/>
        <v>0</v>
      </c>
      <c r="H386" s="298">
        <f t="shared" si="280"/>
        <v>0</v>
      </c>
      <c r="I386" s="325">
        <f t="shared" si="280"/>
        <v>400</v>
      </c>
      <c r="J386" s="297">
        <f t="shared" si="280"/>
        <v>400</v>
      </c>
      <c r="K386" s="298">
        <f t="shared" si="280"/>
        <v>0</v>
      </c>
      <c r="L386" s="299">
        <f t="shared" si="280"/>
        <v>0</v>
      </c>
      <c r="M386" s="326" t="s">
        <v>291</v>
      </c>
    </row>
    <row r="387" s="263" customFormat="1" ht="22" customHeight="1" spans="1:13">
      <c r="A387" s="300" t="s">
        <v>817</v>
      </c>
      <c r="B387" s="301" t="s">
        <v>818</v>
      </c>
      <c r="C387" s="302"/>
      <c r="D387" s="303">
        <f t="shared" ref="D387:L387" si="281">D388</f>
        <v>400</v>
      </c>
      <c r="E387" s="304">
        <f t="shared" si="281"/>
        <v>0</v>
      </c>
      <c r="F387" s="305">
        <f t="shared" si="281"/>
        <v>0</v>
      </c>
      <c r="G387" s="303">
        <f t="shared" si="281"/>
        <v>0</v>
      </c>
      <c r="H387" s="304">
        <f t="shared" si="281"/>
        <v>0</v>
      </c>
      <c r="I387" s="327">
        <f t="shared" si="281"/>
        <v>400</v>
      </c>
      <c r="J387" s="303">
        <f t="shared" si="281"/>
        <v>400</v>
      </c>
      <c r="K387" s="304">
        <f t="shared" si="281"/>
        <v>0</v>
      </c>
      <c r="L387" s="305">
        <f t="shared" si="281"/>
        <v>0</v>
      </c>
      <c r="M387" s="328" t="s">
        <v>291</v>
      </c>
    </row>
    <row r="388" s="263" customFormat="1" ht="18.75" customHeight="1" spans="1:13">
      <c r="A388" s="306" t="s">
        <v>298</v>
      </c>
      <c r="B388" s="307" t="s">
        <v>298</v>
      </c>
      <c r="C388" s="308" t="s">
        <v>464</v>
      </c>
      <c r="D388" s="309">
        <f t="shared" ref="D388:D393" si="282">E388+I388</f>
        <v>400</v>
      </c>
      <c r="E388" s="310">
        <f t="shared" ref="E388:E393" si="283">SUBTOTAL(9,F388:H388)</f>
        <v>0</v>
      </c>
      <c r="F388" s="311">
        <v>0</v>
      </c>
      <c r="G388" s="309">
        <v>0</v>
      </c>
      <c r="H388" s="310">
        <v>0</v>
      </c>
      <c r="I388" s="329">
        <f t="shared" ref="I388:I393" si="284">SUBTOTAL(9,J388:L388)</f>
        <v>400</v>
      </c>
      <c r="J388" s="309">
        <v>400</v>
      </c>
      <c r="K388" s="310">
        <v>0</v>
      </c>
      <c r="L388" s="311">
        <v>0</v>
      </c>
      <c r="M388" s="330" t="s">
        <v>819</v>
      </c>
    </row>
    <row r="389" s="263" customFormat="1" ht="18.75" customHeight="1" spans="1:13">
      <c r="A389" s="294" t="s">
        <v>820</v>
      </c>
      <c r="B389" s="295" t="s">
        <v>821</v>
      </c>
      <c r="C389" s="296"/>
      <c r="D389" s="297">
        <f t="shared" ref="D389:L389" si="285">D390+D392+D394</f>
        <v>82.3657</v>
      </c>
      <c r="E389" s="298">
        <f t="shared" si="285"/>
        <v>66.4557</v>
      </c>
      <c r="F389" s="299">
        <f t="shared" si="285"/>
        <v>56.7597</v>
      </c>
      <c r="G389" s="297">
        <f t="shared" si="285"/>
        <v>8.496</v>
      </c>
      <c r="H389" s="298">
        <f t="shared" si="285"/>
        <v>1.2</v>
      </c>
      <c r="I389" s="325">
        <f t="shared" si="285"/>
        <v>15.91</v>
      </c>
      <c r="J389" s="297">
        <f t="shared" si="285"/>
        <v>15.91</v>
      </c>
      <c r="K389" s="298">
        <f t="shared" si="285"/>
        <v>0</v>
      </c>
      <c r="L389" s="299">
        <f t="shared" si="285"/>
        <v>0</v>
      </c>
      <c r="M389" s="326" t="s">
        <v>291</v>
      </c>
    </row>
    <row r="390" s="263" customFormat="1" ht="22" customHeight="1" spans="1:13">
      <c r="A390" s="300" t="s">
        <v>822</v>
      </c>
      <c r="B390" s="301" t="s">
        <v>823</v>
      </c>
      <c r="C390" s="302"/>
      <c r="D390" s="303">
        <f t="shared" ref="D390:L390" si="286">D391</f>
        <v>66.4557</v>
      </c>
      <c r="E390" s="304">
        <f t="shared" si="286"/>
        <v>66.4557</v>
      </c>
      <c r="F390" s="305">
        <f t="shared" si="286"/>
        <v>56.7597</v>
      </c>
      <c r="G390" s="303">
        <f t="shared" si="286"/>
        <v>8.496</v>
      </c>
      <c r="H390" s="304">
        <f t="shared" si="286"/>
        <v>1.2</v>
      </c>
      <c r="I390" s="327">
        <f t="shared" si="286"/>
        <v>0</v>
      </c>
      <c r="J390" s="303">
        <f t="shared" si="286"/>
        <v>0</v>
      </c>
      <c r="K390" s="304">
        <f t="shared" si="286"/>
        <v>0</v>
      </c>
      <c r="L390" s="305">
        <f t="shared" si="286"/>
        <v>0</v>
      </c>
      <c r="M390" s="328" t="s">
        <v>291</v>
      </c>
    </row>
    <row r="391" s="263" customFormat="1" ht="18.75" customHeight="1" spans="1:13">
      <c r="A391" s="306" t="s">
        <v>298</v>
      </c>
      <c r="B391" s="307" t="s">
        <v>298</v>
      </c>
      <c r="C391" s="308" t="s">
        <v>541</v>
      </c>
      <c r="D391" s="309">
        <f t="shared" si="282"/>
        <v>66.4557</v>
      </c>
      <c r="E391" s="310">
        <f t="shared" si="283"/>
        <v>66.4557</v>
      </c>
      <c r="F391" s="311">
        <v>56.7597</v>
      </c>
      <c r="G391" s="309">
        <v>8.496</v>
      </c>
      <c r="H391" s="310">
        <v>1.2</v>
      </c>
      <c r="I391" s="329">
        <f t="shared" si="284"/>
        <v>0</v>
      </c>
      <c r="J391" s="309">
        <v>0</v>
      </c>
      <c r="K391" s="310">
        <v>0</v>
      </c>
      <c r="L391" s="311">
        <v>0</v>
      </c>
      <c r="M391" s="330" t="s">
        <v>291</v>
      </c>
    </row>
    <row r="392" s="263" customFormat="1" ht="22" customHeight="1" spans="1:13">
      <c r="A392" s="300" t="s">
        <v>824</v>
      </c>
      <c r="B392" s="301" t="s">
        <v>825</v>
      </c>
      <c r="C392" s="302"/>
      <c r="D392" s="303">
        <f t="shared" ref="D392:L392" si="287">D393</f>
        <v>11.45</v>
      </c>
      <c r="E392" s="304">
        <f t="shared" si="287"/>
        <v>0</v>
      </c>
      <c r="F392" s="305">
        <f t="shared" si="287"/>
        <v>0</v>
      </c>
      <c r="G392" s="303">
        <f t="shared" si="287"/>
        <v>0</v>
      </c>
      <c r="H392" s="304">
        <f t="shared" si="287"/>
        <v>0</v>
      </c>
      <c r="I392" s="327">
        <f t="shared" si="287"/>
        <v>11.45</v>
      </c>
      <c r="J392" s="303">
        <f t="shared" si="287"/>
        <v>11.45</v>
      </c>
      <c r="K392" s="304">
        <f t="shared" si="287"/>
        <v>0</v>
      </c>
      <c r="L392" s="305">
        <f t="shared" si="287"/>
        <v>0</v>
      </c>
      <c r="M392" s="328" t="s">
        <v>291</v>
      </c>
    </row>
    <row r="393" s="263" customFormat="1" ht="18.75" customHeight="1" spans="1:13">
      <c r="A393" s="306" t="s">
        <v>298</v>
      </c>
      <c r="B393" s="307" t="s">
        <v>298</v>
      </c>
      <c r="C393" s="308" t="s">
        <v>541</v>
      </c>
      <c r="D393" s="309">
        <f t="shared" si="282"/>
        <v>11.45</v>
      </c>
      <c r="E393" s="310">
        <f t="shared" si="283"/>
        <v>0</v>
      </c>
      <c r="F393" s="311">
        <v>0</v>
      </c>
      <c r="G393" s="309">
        <v>0</v>
      </c>
      <c r="H393" s="310">
        <v>0</v>
      </c>
      <c r="I393" s="329">
        <f t="shared" si="284"/>
        <v>11.45</v>
      </c>
      <c r="J393" s="309">
        <v>11.45</v>
      </c>
      <c r="K393" s="310">
        <v>0</v>
      </c>
      <c r="L393" s="311">
        <v>0</v>
      </c>
      <c r="M393" s="330" t="s">
        <v>826</v>
      </c>
    </row>
    <row r="394" s="263" customFormat="1" ht="22" customHeight="1" spans="1:13">
      <c r="A394" s="300" t="s">
        <v>827</v>
      </c>
      <c r="B394" s="301" t="s">
        <v>828</v>
      </c>
      <c r="C394" s="302"/>
      <c r="D394" s="303">
        <f t="shared" ref="D394:L394" si="288">D395</f>
        <v>4.46</v>
      </c>
      <c r="E394" s="304">
        <f t="shared" si="288"/>
        <v>0</v>
      </c>
      <c r="F394" s="305">
        <f t="shared" si="288"/>
        <v>0</v>
      </c>
      <c r="G394" s="303">
        <f t="shared" si="288"/>
        <v>0</v>
      </c>
      <c r="H394" s="304">
        <f t="shared" si="288"/>
        <v>0</v>
      </c>
      <c r="I394" s="327">
        <f t="shared" si="288"/>
        <v>4.46</v>
      </c>
      <c r="J394" s="303">
        <f t="shared" si="288"/>
        <v>4.46</v>
      </c>
      <c r="K394" s="304">
        <f t="shared" si="288"/>
        <v>0</v>
      </c>
      <c r="L394" s="305">
        <f t="shared" si="288"/>
        <v>0</v>
      </c>
      <c r="M394" s="328" t="s">
        <v>291</v>
      </c>
    </row>
    <row r="395" s="263" customFormat="1" ht="24" customHeight="1" spans="1:13">
      <c r="A395" s="306" t="s">
        <v>298</v>
      </c>
      <c r="B395" s="307" t="s">
        <v>298</v>
      </c>
      <c r="C395" s="308" t="s">
        <v>541</v>
      </c>
      <c r="D395" s="309">
        <f t="shared" ref="D395:D400" si="289">E395+I395</f>
        <v>4.46</v>
      </c>
      <c r="E395" s="310">
        <f t="shared" ref="E395:E400" si="290">SUBTOTAL(9,F395:H395)</f>
        <v>0</v>
      </c>
      <c r="F395" s="311">
        <v>0</v>
      </c>
      <c r="G395" s="309">
        <v>0</v>
      </c>
      <c r="H395" s="310">
        <v>0</v>
      </c>
      <c r="I395" s="329">
        <f t="shared" ref="I395:I400" si="291">SUBTOTAL(9,J395:L395)</f>
        <v>4.46</v>
      </c>
      <c r="J395" s="309">
        <v>4.46</v>
      </c>
      <c r="K395" s="310">
        <v>0</v>
      </c>
      <c r="L395" s="311">
        <v>0</v>
      </c>
      <c r="M395" s="330" t="s">
        <v>829</v>
      </c>
    </row>
    <row r="396" s="263" customFormat="1" ht="18.75" customHeight="1" spans="1:13">
      <c r="A396" s="288" t="s">
        <v>830</v>
      </c>
      <c r="B396" s="289" t="s">
        <v>831</v>
      </c>
      <c r="C396" s="290"/>
      <c r="D396" s="291">
        <f t="shared" ref="D396:L396" si="292">D397+D421+D428+D437+D442+D445+D451</f>
        <v>3122.3185</v>
      </c>
      <c r="E396" s="292">
        <f t="shared" si="292"/>
        <v>1201.1885</v>
      </c>
      <c r="F396" s="293">
        <f t="shared" si="292"/>
        <v>1024.5372</v>
      </c>
      <c r="G396" s="291">
        <f t="shared" si="292"/>
        <v>60.4723</v>
      </c>
      <c r="H396" s="292">
        <f t="shared" si="292"/>
        <v>116.179</v>
      </c>
      <c r="I396" s="323">
        <f t="shared" si="292"/>
        <v>1921.13</v>
      </c>
      <c r="J396" s="291">
        <f t="shared" si="292"/>
        <v>603.33</v>
      </c>
      <c r="K396" s="292">
        <f t="shared" si="292"/>
        <v>0</v>
      </c>
      <c r="L396" s="293">
        <f t="shared" si="292"/>
        <v>1317.8</v>
      </c>
      <c r="M396" s="324" t="s">
        <v>291</v>
      </c>
    </row>
    <row r="397" s="263" customFormat="1" ht="18.75" customHeight="1" spans="1:13">
      <c r="A397" s="294" t="s">
        <v>832</v>
      </c>
      <c r="B397" s="295" t="s">
        <v>833</v>
      </c>
      <c r="C397" s="296"/>
      <c r="D397" s="297">
        <f t="shared" ref="D397:L397" si="293">D398+D401+D404+D406+D408+D410+D413+D415+D417+D419</f>
        <v>2087.8727</v>
      </c>
      <c r="E397" s="298">
        <f t="shared" si="293"/>
        <v>773.8927</v>
      </c>
      <c r="F397" s="299">
        <f t="shared" si="293"/>
        <v>704.1484</v>
      </c>
      <c r="G397" s="297">
        <f t="shared" si="293"/>
        <v>50.9417</v>
      </c>
      <c r="H397" s="298">
        <f t="shared" si="293"/>
        <v>18.8026</v>
      </c>
      <c r="I397" s="325">
        <f t="shared" si="293"/>
        <v>1313.98</v>
      </c>
      <c r="J397" s="297">
        <f t="shared" si="293"/>
        <v>369.18</v>
      </c>
      <c r="K397" s="298">
        <f t="shared" si="293"/>
        <v>0</v>
      </c>
      <c r="L397" s="299">
        <f t="shared" si="293"/>
        <v>944.8</v>
      </c>
      <c r="M397" s="326" t="s">
        <v>291</v>
      </c>
    </row>
    <row r="398" s="263" customFormat="1" ht="22" customHeight="1" spans="1:13">
      <c r="A398" s="300" t="s">
        <v>834</v>
      </c>
      <c r="B398" s="301" t="s">
        <v>835</v>
      </c>
      <c r="C398" s="302"/>
      <c r="D398" s="303">
        <f t="shared" ref="D398:L398" si="294">SUM(D399:D400)</f>
        <v>292.9019</v>
      </c>
      <c r="E398" s="304">
        <f t="shared" si="294"/>
        <v>262.4419</v>
      </c>
      <c r="F398" s="305">
        <f t="shared" si="294"/>
        <v>224.2605</v>
      </c>
      <c r="G398" s="303">
        <f t="shared" si="294"/>
        <v>25.062</v>
      </c>
      <c r="H398" s="304">
        <f t="shared" si="294"/>
        <v>13.1194</v>
      </c>
      <c r="I398" s="327">
        <f t="shared" si="294"/>
        <v>30.46</v>
      </c>
      <c r="J398" s="303">
        <f t="shared" si="294"/>
        <v>30.46</v>
      </c>
      <c r="K398" s="304">
        <f t="shared" si="294"/>
        <v>0</v>
      </c>
      <c r="L398" s="305">
        <f t="shared" si="294"/>
        <v>0</v>
      </c>
      <c r="M398" s="328" t="s">
        <v>291</v>
      </c>
    </row>
    <row r="399" s="263" customFormat="1" ht="18.75" customHeight="1" spans="1:13">
      <c r="A399" s="306" t="s">
        <v>298</v>
      </c>
      <c r="B399" s="307" t="s">
        <v>298</v>
      </c>
      <c r="C399" s="308" t="s">
        <v>538</v>
      </c>
      <c r="D399" s="309">
        <f t="shared" si="289"/>
        <v>22.3313</v>
      </c>
      <c r="E399" s="310">
        <f t="shared" si="290"/>
        <v>22.3313</v>
      </c>
      <c r="F399" s="311">
        <v>21.5813</v>
      </c>
      <c r="G399" s="309">
        <v>0.75</v>
      </c>
      <c r="H399" s="310">
        <v>0</v>
      </c>
      <c r="I399" s="329">
        <f t="shared" si="291"/>
        <v>0</v>
      </c>
      <c r="J399" s="309">
        <v>0</v>
      </c>
      <c r="K399" s="310">
        <v>0</v>
      </c>
      <c r="L399" s="311">
        <v>0</v>
      </c>
      <c r="M399" s="330" t="s">
        <v>291</v>
      </c>
    </row>
    <row r="400" s="263" customFormat="1" ht="32" customHeight="1" spans="1:13">
      <c r="A400" s="306" t="s">
        <v>298</v>
      </c>
      <c r="B400" s="307" t="s">
        <v>298</v>
      </c>
      <c r="C400" s="308" t="s">
        <v>540</v>
      </c>
      <c r="D400" s="309">
        <f t="shared" si="289"/>
        <v>270.5706</v>
      </c>
      <c r="E400" s="310">
        <f t="shared" si="290"/>
        <v>240.1106</v>
      </c>
      <c r="F400" s="311">
        <v>202.6792</v>
      </c>
      <c r="G400" s="309">
        <v>24.312</v>
      </c>
      <c r="H400" s="310">
        <v>13.1194</v>
      </c>
      <c r="I400" s="329">
        <f t="shared" si="291"/>
        <v>30.46</v>
      </c>
      <c r="J400" s="309">
        <v>30.46</v>
      </c>
      <c r="K400" s="310">
        <v>0</v>
      </c>
      <c r="L400" s="311">
        <v>0</v>
      </c>
      <c r="M400" s="330" t="s">
        <v>836</v>
      </c>
    </row>
    <row r="401" s="263" customFormat="1" ht="24" customHeight="1" spans="1:13">
      <c r="A401" s="300" t="s">
        <v>837</v>
      </c>
      <c r="B401" s="301" t="s">
        <v>838</v>
      </c>
      <c r="C401" s="302"/>
      <c r="D401" s="303">
        <f t="shared" ref="D401:L401" si="295">SUM(D402:D403)</f>
        <v>240.08</v>
      </c>
      <c r="E401" s="304">
        <f t="shared" si="295"/>
        <v>0</v>
      </c>
      <c r="F401" s="305">
        <f t="shared" si="295"/>
        <v>0</v>
      </c>
      <c r="G401" s="303">
        <f t="shared" si="295"/>
        <v>0</v>
      </c>
      <c r="H401" s="304">
        <f t="shared" si="295"/>
        <v>0</v>
      </c>
      <c r="I401" s="327">
        <f t="shared" si="295"/>
        <v>240.08</v>
      </c>
      <c r="J401" s="303">
        <f t="shared" si="295"/>
        <v>240.08</v>
      </c>
      <c r="K401" s="304">
        <f t="shared" si="295"/>
        <v>0</v>
      </c>
      <c r="L401" s="305">
        <f t="shared" si="295"/>
        <v>0</v>
      </c>
      <c r="M401" s="328" t="s">
        <v>291</v>
      </c>
    </row>
    <row r="402" s="263" customFormat="1" ht="18.75" customHeight="1" spans="1:13">
      <c r="A402" s="306" t="s">
        <v>298</v>
      </c>
      <c r="B402" s="307" t="s">
        <v>298</v>
      </c>
      <c r="C402" s="308" t="s">
        <v>538</v>
      </c>
      <c r="D402" s="309">
        <f t="shared" ref="D402:D405" si="296">E402+I402</f>
        <v>10.08</v>
      </c>
      <c r="E402" s="310">
        <f t="shared" ref="E402:E405" si="297">SUBTOTAL(9,F402:H402)</f>
        <v>0</v>
      </c>
      <c r="F402" s="311">
        <v>0</v>
      </c>
      <c r="G402" s="309">
        <v>0</v>
      </c>
      <c r="H402" s="310">
        <v>0</v>
      </c>
      <c r="I402" s="329">
        <f t="shared" ref="I402:I405" si="298">SUBTOTAL(9,J402:L402)</f>
        <v>10.08</v>
      </c>
      <c r="J402" s="309">
        <v>10.08</v>
      </c>
      <c r="K402" s="310">
        <v>0</v>
      </c>
      <c r="L402" s="311">
        <v>0</v>
      </c>
      <c r="M402" s="330" t="s">
        <v>839</v>
      </c>
    </row>
    <row r="403" s="263" customFormat="1" ht="18.75" customHeight="1" spans="1:13">
      <c r="A403" s="306" t="s">
        <v>298</v>
      </c>
      <c r="B403" s="307" t="s">
        <v>298</v>
      </c>
      <c r="C403" s="308" t="s">
        <v>540</v>
      </c>
      <c r="D403" s="309">
        <f t="shared" si="296"/>
        <v>230</v>
      </c>
      <c r="E403" s="310">
        <f t="shared" si="297"/>
        <v>0</v>
      </c>
      <c r="F403" s="311">
        <v>0</v>
      </c>
      <c r="G403" s="309">
        <v>0</v>
      </c>
      <c r="H403" s="310">
        <v>0</v>
      </c>
      <c r="I403" s="329">
        <f t="shared" si="298"/>
        <v>230</v>
      </c>
      <c r="J403" s="309">
        <v>230</v>
      </c>
      <c r="K403" s="310">
        <v>0</v>
      </c>
      <c r="L403" s="311">
        <v>0</v>
      </c>
      <c r="M403" s="330" t="s">
        <v>840</v>
      </c>
    </row>
    <row r="404" s="263" customFormat="1" ht="27" customHeight="1" spans="1:13">
      <c r="A404" s="300" t="s">
        <v>841</v>
      </c>
      <c r="B404" s="301" t="s">
        <v>842</v>
      </c>
      <c r="C404" s="302"/>
      <c r="D404" s="303">
        <f t="shared" ref="D404:L404" si="299">D405</f>
        <v>75.2653</v>
      </c>
      <c r="E404" s="304">
        <f t="shared" si="299"/>
        <v>62.2353</v>
      </c>
      <c r="F404" s="305">
        <f t="shared" si="299"/>
        <v>55.995</v>
      </c>
      <c r="G404" s="303">
        <f t="shared" si="299"/>
        <v>3.5691</v>
      </c>
      <c r="H404" s="304">
        <f t="shared" si="299"/>
        <v>2.6712</v>
      </c>
      <c r="I404" s="327">
        <f t="shared" si="299"/>
        <v>13.03</v>
      </c>
      <c r="J404" s="303">
        <f t="shared" si="299"/>
        <v>13.03</v>
      </c>
      <c r="K404" s="304">
        <f t="shared" si="299"/>
        <v>0</v>
      </c>
      <c r="L404" s="305">
        <f t="shared" si="299"/>
        <v>0</v>
      </c>
      <c r="M404" s="328" t="s">
        <v>291</v>
      </c>
    </row>
    <row r="405" s="263" customFormat="1" ht="59" customHeight="1" spans="1:13">
      <c r="A405" s="306" t="s">
        <v>298</v>
      </c>
      <c r="B405" s="307" t="s">
        <v>298</v>
      </c>
      <c r="C405" s="308" t="s">
        <v>540</v>
      </c>
      <c r="D405" s="309">
        <f t="shared" si="296"/>
        <v>75.2653</v>
      </c>
      <c r="E405" s="310">
        <f t="shared" si="297"/>
        <v>62.2353</v>
      </c>
      <c r="F405" s="311">
        <v>55.995</v>
      </c>
      <c r="G405" s="309">
        <v>3.5691</v>
      </c>
      <c r="H405" s="310">
        <v>2.6712</v>
      </c>
      <c r="I405" s="329">
        <f t="shared" si="298"/>
        <v>13.03</v>
      </c>
      <c r="J405" s="309">
        <v>13.03</v>
      </c>
      <c r="K405" s="310">
        <v>0</v>
      </c>
      <c r="L405" s="311">
        <v>0</v>
      </c>
      <c r="M405" s="330" t="s">
        <v>843</v>
      </c>
    </row>
    <row r="406" s="263" customFormat="1" ht="22" customHeight="1" spans="1:13">
      <c r="A406" s="300" t="s">
        <v>844</v>
      </c>
      <c r="B406" s="301" t="s">
        <v>845</v>
      </c>
      <c r="C406" s="302"/>
      <c r="D406" s="303">
        <f t="shared" ref="D406:L406" si="300">D407</f>
        <v>177.2277</v>
      </c>
      <c r="E406" s="304">
        <f t="shared" si="300"/>
        <v>169.2277</v>
      </c>
      <c r="F406" s="305">
        <f t="shared" si="300"/>
        <v>163.3357</v>
      </c>
      <c r="G406" s="303">
        <f t="shared" si="300"/>
        <v>4.08</v>
      </c>
      <c r="H406" s="304">
        <f t="shared" si="300"/>
        <v>1.812</v>
      </c>
      <c r="I406" s="327">
        <f t="shared" si="300"/>
        <v>8</v>
      </c>
      <c r="J406" s="303">
        <f t="shared" si="300"/>
        <v>8</v>
      </c>
      <c r="K406" s="304">
        <f t="shared" si="300"/>
        <v>0</v>
      </c>
      <c r="L406" s="305">
        <f t="shared" si="300"/>
        <v>0</v>
      </c>
      <c r="M406" s="328" t="s">
        <v>291</v>
      </c>
    </row>
    <row r="407" s="263" customFormat="1" ht="27" customHeight="1" spans="1:13">
      <c r="A407" s="306" t="s">
        <v>298</v>
      </c>
      <c r="B407" s="307" t="s">
        <v>298</v>
      </c>
      <c r="C407" s="308" t="s">
        <v>540</v>
      </c>
      <c r="D407" s="309">
        <f t="shared" ref="D407:D412" si="301">E407+I407</f>
        <v>177.2277</v>
      </c>
      <c r="E407" s="310">
        <f t="shared" ref="E407:E411" si="302">SUBTOTAL(9,F407:H407)</f>
        <v>169.2277</v>
      </c>
      <c r="F407" s="311">
        <v>163.3357</v>
      </c>
      <c r="G407" s="309">
        <v>4.08</v>
      </c>
      <c r="H407" s="310">
        <v>1.812</v>
      </c>
      <c r="I407" s="329">
        <f t="shared" ref="I407:I411" si="303">SUBTOTAL(9,J407:L407)</f>
        <v>8</v>
      </c>
      <c r="J407" s="309">
        <v>8</v>
      </c>
      <c r="K407" s="310">
        <v>0</v>
      </c>
      <c r="L407" s="311">
        <v>0</v>
      </c>
      <c r="M407" s="330" t="s">
        <v>846</v>
      </c>
    </row>
    <row r="408" s="263" customFormat="1" ht="22" customHeight="1" spans="1:13">
      <c r="A408" s="300" t="s">
        <v>847</v>
      </c>
      <c r="B408" s="301" t="s">
        <v>848</v>
      </c>
      <c r="C408" s="302"/>
      <c r="D408" s="303">
        <f t="shared" ref="D408:L408" si="304">D409</f>
        <v>15</v>
      </c>
      <c r="E408" s="304">
        <f t="shared" si="304"/>
        <v>0</v>
      </c>
      <c r="F408" s="305">
        <f t="shared" si="304"/>
        <v>0</v>
      </c>
      <c r="G408" s="303">
        <f t="shared" si="304"/>
        <v>0</v>
      </c>
      <c r="H408" s="304">
        <f t="shared" si="304"/>
        <v>0</v>
      </c>
      <c r="I408" s="327">
        <f t="shared" si="304"/>
        <v>15</v>
      </c>
      <c r="J408" s="303">
        <f t="shared" si="304"/>
        <v>15</v>
      </c>
      <c r="K408" s="304">
        <f t="shared" si="304"/>
        <v>0</v>
      </c>
      <c r="L408" s="305">
        <f t="shared" si="304"/>
        <v>0</v>
      </c>
      <c r="M408" s="328" t="s">
        <v>291</v>
      </c>
    </row>
    <row r="409" s="263" customFormat="1" ht="23" customHeight="1" spans="1:13">
      <c r="A409" s="306" t="s">
        <v>298</v>
      </c>
      <c r="B409" s="307" t="s">
        <v>298</v>
      </c>
      <c r="C409" s="308" t="s">
        <v>540</v>
      </c>
      <c r="D409" s="309">
        <f t="shared" si="301"/>
        <v>15</v>
      </c>
      <c r="E409" s="310">
        <f t="shared" si="302"/>
        <v>0</v>
      </c>
      <c r="F409" s="311">
        <v>0</v>
      </c>
      <c r="G409" s="309">
        <v>0</v>
      </c>
      <c r="H409" s="310">
        <v>0</v>
      </c>
      <c r="I409" s="329">
        <f t="shared" si="303"/>
        <v>15</v>
      </c>
      <c r="J409" s="309">
        <v>15</v>
      </c>
      <c r="K409" s="310">
        <v>0</v>
      </c>
      <c r="L409" s="311">
        <v>0</v>
      </c>
      <c r="M409" s="330" t="s">
        <v>849</v>
      </c>
    </row>
    <row r="410" s="263" customFormat="1" ht="24" customHeight="1" spans="1:13">
      <c r="A410" s="300" t="s">
        <v>850</v>
      </c>
      <c r="B410" s="301" t="s">
        <v>851</v>
      </c>
      <c r="C410" s="302"/>
      <c r="D410" s="303">
        <f>SUM(D411:D412)</f>
        <v>407.6978</v>
      </c>
      <c r="E410" s="304">
        <f t="shared" ref="D410:L410" si="305">SUM(E411:E412)</f>
        <v>279.9878</v>
      </c>
      <c r="F410" s="305">
        <f t="shared" si="305"/>
        <v>260.5572</v>
      </c>
      <c r="G410" s="303">
        <f t="shared" si="305"/>
        <v>18.2306</v>
      </c>
      <c r="H410" s="304">
        <f t="shared" si="305"/>
        <v>1.2</v>
      </c>
      <c r="I410" s="327">
        <f t="shared" si="305"/>
        <v>127.71</v>
      </c>
      <c r="J410" s="303">
        <f t="shared" si="305"/>
        <v>27.71</v>
      </c>
      <c r="K410" s="304">
        <f t="shared" si="305"/>
        <v>0</v>
      </c>
      <c r="L410" s="305">
        <f t="shared" si="305"/>
        <v>100</v>
      </c>
      <c r="M410" s="328" t="s">
        <v>291</v>
      </c>
    </row>
    <row r="411" s="263" customFormat="1" ht="60" customHeight="1" spans="1:13">
      <c r="A411" s="306" t="s">
        <v>298</v>
      </c>
      <c r="B411" s="307" t="s">
        <v>298</v>
      </c>
      <c r="C411" s="308" t="s">
        <v>540</v>
      </c>
      <c r="D411" s="309">
        <f t="shared" si="301"/>
        <v>188.3873</v>
      </c>
      <c r="E411" s="310">
        <f t="shared" si="302"/>
        <v>60.6773</v>
      </c>
      <c r="F411" s="311">
        <v>55.9082</v>
      </c>
      <c r="G411" s="309">
        <v>3.5691</v>
      </c>
      <c r="H411" s="310">
        <v>1.2</v>
      </c>
      <c r="I411" s="329">
        <f t="shared" si="303"/>
        <v>127.71</v>
      </c>
      <c r="J411" s="309">
        <f>24.71+3</f>
        <v>27.71</v>
      </c>
      <c r="K411" s="310">
        <v>0</v>
      </c>
      <c r="L411" s="311">
        <v>100</v>
      </c>
      <c r="M411" s="330" t="s">
        <v>852</v>
      </c>
    </row>
    <row r="412" s="263" customFormat="1" ht="24" customHeight="1" spans="1:13">
      <c r="A412" s="306"/>
      <c r="B412" s="307"/>
      <c r="C412" s="308" t="s">
        <v>301</v>
      </c>
      <c r="D412" s="309">
        <f t="shared" si="301"/>
        <v>219.3105</v>
      </c>
      <c r="E412" s="310">
        <f>SUM(F412:H412)</f>
        <v>219.3105</v>
      </c>
      <c r="F412" s="310">
        <v>204.649</v>
      </c>
      <c r="G412" s="310">
        <v>14.6615</v>
      </c>
      <c r="H412" s="310"/>
      <c r="I412" s="329"/>
      <c r="J412" s="309"/>
      <c r="K412" s="310"/>
      <c r="L412" s="311"/>
      <c r="M412" s="330"/>
    </row>
    <row r="413" s="263" customFormat="1" ht="22" customHeight="1" spans="1:13">
      <c r="A413" s="300" t="s">
        <v>853</v>
      </c>
      <c r="B413" s="301" t="s">
        <v>854</v>
      </c>
      <c r="C413" s="302"/>
      <c r="D413" s="303">
        <f t="shared" ref="D413:L413" si="306">D414</f>
        <v>25</v>
      </c>
      <c r="E413" s="304">
        <f t="shared" si="306"/>
        <v>0</v>
      </c>
      <c r="F413" s="305">
        <f t="shared" si="306"/>
        <v>0</v>
      </c>
      <c r="G413" s="303">
        <f t="shared" si="306"/>
        <v>0</v>
      </c>
      <c r="H413" s="304">
        <f t="shared" si="306"/>
        <v>0</v>
      </c>
      <c r="I413" s="327">
        <f t="shared" si="306"/>
        <v>25</v>
      </c>
      <c r="J413" s="303">
        <f t="shared" si="306"/>
        <v>25</v>
      </c>
      <c r="K413" s="304">
        <f t="shared" si="306"/>
        <v>0</v>
      </c>
      <c r="L413" s="305">
        <f t="shared" si="306"/>
        <v>0</v>
      </c>
      <c r="M413" s="328" t="s">
        <v>291</v>
      </c>
    </row>
    <row r="414" s="263" customFormat="1" ht="24" customHeight="1" spans="1:13">
      <c r="A414" s="306" t="s">
        <v>298</v>
      </c>
      <c r="B414" s="307" t="s">
        <v>298</v>
      </c>
      <c r="C414" s="308" t="s">
        <v>540</v>
      </c>
      <c r="D414" s="309">
        <f t="shared" ref="D414:D418" si="307">E414+I414</f>
        <v>25</v>
      </c>
      <c r="E414" s="310">
        <f t="shared" ref="E414:E418" si="308">SUBTOTAL(9,F414:H414)</f>
        <v>0</v>
      </c>
      <c r="F414" s="311">
        <v>0</v>
      </c>
      <c r="G414" s="309">
        <v>0</v>
      </c>
      <c r="H414" s="310">
        <v>0</v>
      </c>
      <c r="I414" s="329">
        <f t="shared" ref="I414:I418" si="309">SUBTOTAL(9,J414:L414)</f>
        <v>25</v>
      </c>
      <c r="J414" s="309">
        <v>25</v>
      </c>
      <c r="K414" s="310">
        <v>0</v>
      </c>
      <c r="L414" s="311">
        <v>0</v>
      </c>
      <c r="M414" s="330" t="s">
        <v>855</v>
      </c>
    </row>
    <row r="415" s="263" customFormat="1" ht="22" customHeight="1" spans="1:13">
      <c r="A415" s="300" t="s">
        <v>856</v>
      </c>
      <c r="B415" s="301" t="s">
        <v>857</v>
      </c>
      <c r="C415" s="302"/>
      <c r="D415" s="303">
        <f t="shared" ref="D415:L415" si="310">D416</f>
        <v>34</v>
      </c>
      <c r="E415" s="304">
        <f t="shared" si="310"/>
        <v>0</v>
      </c>
      <c r="F415" s="305">
        <f t="shared" si="310"/>
        <v>0</v>
      </c>
      <c r="G415" s="303">
        <f t="shared" si="310"/>
        <v>0</v>
      </c>
      <c r="H415" s="304">
        <f t="shared" si="310"/>
        <v>0</v>
      </c>
      <c r="I415" s="327">
        <f t="shared" si="310"/>
        <v>34</v>
      </c>
      <c r="J415" s="303">
        <f t="shared" si="310"/>
        <v>0</v>
      </c>
      <c r="K415" s="304">
        <f t="shared" si="310"/>
        <v>0</v>
      </c>
      <c r="L415" s="305">
        <f t="shared" si="310"/>
        <v>34</v>
      </c>
      <c r="M415" s="328" t="s">
        <v>291</v>
      </c>
    </row>
    <row r="416" s="263" customFormat="1" ht="29" customHeight="1" spans="1:13">
      <c r="A416" s="306" t="s">
        <v>298</v>
      </c>
      <c r="B416" s="307" t="s">
        <v>298</v>
      </c>
      <c r="C416" s="308" t="s">
        <v>540</v>
      </c>
      <c r="D416" s="309">
        <f t="shared" si="307"/>
        <v>34</v>
      </c>
      <c r="E416" s="310">
        <f t="shared" si="308"/>
        <v>0</v>
      </c>
      <c r="F416" s="311">
        <v>0</v>
      </c>
      <c r="G416" s="309">
        <v>0</v>
      </c>
      <c r="H416" s="310">
        <v>0</v>
      </c>
      <c r="I416" s="329">
        <f t="shared" si="309"/>
        <v>34</v>
      </c>
      <c r="J416" s="309">
        <v>0</v>
      </c>
      <c r="K416" s="310">
        <v>0</v>
      </c>
      <c r="L416" s="311">
        <v>34</v>
      </c>
      <c r="M416" s="330" t="s">
        <v>858</v>
      </c>
    </row>
    <row r="417" s="263" customFormat="1" ht="22" customHeight="1" spans="1:13">
      <c r="A417" s="300" t="s">
        <v>859</v>
      </c>
      <c r="B417" s="301" t="s">
        <v>860</v>
      </c>
      <c r="C417" s="302"/>
      <c r="D417" s="303">
        <f t="shared" ref="D417:L417" si="311">D418</f>
        <v>2.5</v>
      </c>
      <c r="E417" s="304">
        <f t="shared" si="311"/>
        <v>0</v>
      </c>
      <c r="F417" s="305">
        <f t="shared" si="311"/>
        <v>0</v>
      </c>
      <c r="G417" s="303">
        <f t="shared" si="311"/>
        <v>0</v>
      </c>
      <c r="H417" s="304">
        <f t="shared" si="311"/>
        <v>0</v>
      </c>
      <c r="I417" s="327">
        <f t="shared" si="311"/>
        <v>2.5</v>
      </c>
      <c r="J417" s="303">
        <f t="shared" si="311"/>
        <v>2.5</v>
      </c>
      <c r="K417" s="304">
        <f t="shared" si="311"/>
        <v>0</v>
      </c>
      <c r="L417" s="305">
        <f t="shared" si="311"/>
        <v>0</v>
      </c>
      <c r="M417" s="328" t="s">
        <v>291</v>
      </c>
    </row>
    <row r="418" s="263" customFormat="1" ht="18.75" customHeight="1" spans="1:13">
      <c r="A418" s="306" t="s">
        <v>298</v>
      </c>
      <c r="B418" s="307" t="s">
        <v>298</v>
      </c>
      <c r="C418" s="308" t="s">
        <v>540</v>
      </c>
      <c r="D418" s="309">
        <f t="shared" si="307"/>
        <v>2.5</v>
      </c>
      <c r="E418" s="310">
        <f t="shared" si="308"/>
        <v>0</v>
      </c>
      <c r="F418" s="311">
        <v>0</v>
      </c>
      <c r="G418" s="309">
        <v>0</v>
      </c>
      <c r="H418" s="310">
        <v>0</v>
      </c>
      <c r="I418" s="329">
        <f t="shared" si="309"/>
        <v>2.5</v>
      </c>
      <c r="J418" s="309">
        <v>2.5</v>
      </c>
      <c r="K418" s="310">
        <v>0</v>
      </c>
      <c r="L418" s="311">
        <v>0</v>
      </c>
      <c r="M418" s="330" t="s">
        <v>861</v>
      </c>
    </row>
    <row r="419" s="263" customFormat="1" ht="22" customHeight="1" spans="1:13">
      <c r="A419" s="300" t="s">
        <v>862</v>
      </c>
      <c r="B419" s="301" t="s">
        <v>863</v>
      </c>
      <c r="C419" s="302"/>
      <c r="D419" s="303">
        <f t="shared" ref="D419:L419" si="312">D420</f>
        <v>818.2</v>
      </c>
      <c r="E419" s="304">
        <f t="shared" si="312"/>
        <v>0</v>
      </c>
      <c r="F419" s="305">
        <f t="shared" si="312"/>
        <v>0</v>
      </c>
      <c r="G419" s="303">
        <f t="shared" si="312"/>
        <v>0</v>
      </c>
      <c r="H419" s="304">
        <f t="shared" si="312"/>
        <v>0</v>
      </c>
      <c r="I419" s="327">
        <f t="shared" si="312"/>
        <v>818.2</v>
      </c>
      <c r="J419" s="303">
        <f t="shared" si="312"/>
        <v>7.4</v>
      </c>
      <c r="K419" s="304">
        <f t="shared" si="312"/>
        <v>0</v>
      </c>
      <c r="L419" s="305">
        <f t="shared" si="312"/>
        <v>810.8</v>
      </c>
      <c r="M419" s="328" t="s">
        <v>291</v>
      </c>
    </row>
    <row r="420" s="263" customFormat="1" ht="137" customHeight="1" spans="1:13">
      <c r="A420" s="306" t="s">
        <v>298</v>
      </c>
      <c r="B420" s="307" t="s">
        <v>298</v>
      </c>
      <c r="C420" s="308" t="s">
        <v>540</v>
      </c>
      <c r="D420" s="309">
        <f t="shared" ref="D420:D425" si="313">E420+I420</f>
        <v>818.2</v>
      </c>
      <c r="E420" s="310">
        <f t="shared" ref="E420:E425" si="314">SUBTOTAL(9,F420:H420)</f>
        <v>0</v>
      </c>
      <c r="F420" s="311">
        <v>0</v>
      </c>
      <c r="G420" s="309">
        <v>0</v>
      </c>
      <c r="H420" s="310">
        <v>0</v>
      </c>
      <c r="I420" s="329">
        <f t="shared" ref="I420:I425" si="315">SUBTOTAL(9,J420:L420)</f>
        <v>818.2</v>
      </c>
      <c r="J420" s="309">
        <v>7.4</v>
      </c>
      <c r="K420" s="310">
        <v>0</v>
      </c>
      <c r="L420" s="311">
        <v>810.8</v>
      </c>
      <c r="M420" s="330" t="s">
        <v>864</v>
      </c>
    </row>
    <row r="421" s="263" customFormat="1" ht="18.75" customHeight="1" spans="1:13">
      <c r="A421" s="294" t="s">
        <v>865</v>
      </c>
      <c r="B421" s="295" t="s">
        <v>866</v>
      </c>
      <c r="C421" s="296"/>
      <c r="D421" s="297">
        <f t="shared" ref="D421:L421" si="316">D422+D424+D426</f>
        <v>300.947</v>
      </c>
      <c r="E421" s="298">
        <f t="shared" si="316"/>
        <v>68.097</v>
      </c>
      <c r="F421" s="299">
        <f t="shared" si="316"/>
        <v>64.2819</v>
      </c>
      <c r="G421" s="297">
        <f t="shared" si="316"/>
        <v>3.8091</v>
      </c>
      <c r="H421" s="298">
        <f t="shared" si="316"/>
        <v>0.006</v>
      </c>
      <c r="I421" s="325">
        <f t="shared" si="316"/>
        <v>232.85</v>
      </c>
      <c r="J421" s="297">
        <f t="shared" si="316"/>
        <v>22.85</v>
      </c>
      <c r="K421" s="298">
        <f t="shared" si="316"/>
        <v>0</v>
      </c>
      <c r="L421" s="299">
        <f t="shared" si="316"/>
        <v>210</v>
      </c>
      <c r="M421" s="326" t="s">
        <v>291</v>
      </c>
    </row>
    <row r="422" s="263" customFormat="1" ht="22" customHeight="1" spans="1:13">
      <c r="A422" s="300" t="s">
        <v>867</v>
      </c>
      <c r="B422" s="301" t="s">
        <v>868</v>
      </c>
      <c r="C422" s="302"/>
      <c r="D422" s="303">
        <f t="shared" ref="D422:L422" si="317">D423</f>
        <v>218.36</v>
      </c>
      <c r="E422" s="304">
        <f t="shared" si="317"/>
        <v>0</v>
      </c>
      <c r="F422" s="305">
        <f t="shared" si="317"/>
        <v>0</v>
      </c>
      <c r="G422" s="303">
        <f t="shared" si="317"/>
        <v>0</v>
      </c>
      <c r="H422" s="304">
        <f t="shared" si="317"/>
        <v>0</v>
      </c>
      <c r="I422" s="327">
        <f t="shared" si="317"/>
        <v>218.36</v>
      </c>
      <c r="J422" s="303">
        <f t="shared" si="317"/>
        <v>8.36</v>
      </c>
      <c r="K422" s="304">
        <f t="shared" si="317"/>
        <v>0</v>
      </c>
      <c r="L422" s="305">
        <f t="shared" si="317"/>
        <v>210</v>
      </c>
      <c r="M422" s="328" t="s">
        <v>291</v>
      </c>
    </row>
    <row r="423" s="263" customFormat="1" ht="52" customHeight="1" spans="1:13">
      <c r="A423" s="306" t="s">
        <v>298</v>
      </c>
      <c r="B423" s="307" t="s">
        <v>298</v>
      </c>
      <c r="C423" s="308" t="s">
        <v>540</v>
      </c>
      <c r="D423" s="309">
        <f t="shared" si="313"/>
        <v>218.36</v>
      </c>
      <c r="E423" s="310">
        <f t="shared" si="314"/>
        <v>0</v>
      </c>
      <c r="F423" s="311">
        <v>0</v>
      </c>
      <c r="G423" s="309">
        <v>0</v>
      </c>
      <c r="H423" s="310">
        <v>0</v>
      </c>
      <c r="I423" s="329">
        <f t="shared" si="315"/>
        <v>218.36</v>
      </c>
      <c r="J423" s="309">
        <v>8.36</v>
      </c>
      <c r="K423" s="310">
        <v>0</v>
      </c>
      <c r="L423" s="311">
        <v>210</v>
      </c>
      <c r="M423" s="330" t="s">
        <v>869</v>
      </c>
    </row>
    <row r="424" s="263" customFormat="1" ht="22" customHeight="1" spans="1:13">
      <c r="A424" s="300" t="s">
        <v>870</v>
      </c>
      <c r="B424" s="301" t="s">
        <v>871</v>
      </c>
      <c r="C424" s="302"/>
      <c r="D424" s="303">
        <f t="shared" ref="D424:L424" si="318">D425</f>
        <v>9.6</v>
      </c>
      <c r="E424" s="304">
        <f t="shared" si="318"/>
        <v>0</v>
      </c>
      <c r="F424" s="305">
        <f t="shared" si="318"/>
        <v>0</v>
      </c>
      <c r="G424" s="303">
        <f t="shared" si="318"/>
        <v>0</v>
      </c>
      <c r="H424" s="304">
        <f t="shared" si="318"/>
        <v>0</v>
      </c>
      <c r="I424" s="327">
        <f t="shared" si="318"/>
        <v>9.6</v>
      </c>
      <c r="J424" s="303">
        <f t="shared" si="318"/>
        <v>9.6</v>
      </c>
      <c r="K424" s="304">
        <f t="shared" si="318"/>
        <v>0</v>
      </c>
      <c r="L424" s="305">
        <f t="shared" si="318"/>
        <v>0</v>
      </c>
      <c r="M424" s="328" t="s">
        <v>291</v>
      </c>
    </row>
    <row r="425" s="263" customFormat="1" ht="18.75" customHeight="1" spans="1:13">
      <c r="A425" s="306" t="s">
        <v>298</v>
      </c>
      <c r="B425" s="307" t="s">
        <v>298</v>
      </c>
      <c r="C425" s="308" t="s">
        <v>540</v>
      </c>
      <c r="D425" s="309">
        <f t="shared" si="313"/>
        <v>9.6</v>
      </c>
      <c r="E425" s="310">
        <f t="shared" si="314"/>
        <v>0</v>
      </c>
      <c r="F425" s="311">
        <v>0</v>
      </c>
      <c r="G425" s="309">
        <v>0</v>
      </c>
      <c r="H425" s="310">
        <v>0</v>
      </c>
      <c r="I425" s="329">
        <f t="shared" si="315"/>
        <v>9.6</v>
      </c>
      <c r="J425" s="309">
        <v>9.6</v>
      </c>
      <c r="K425" s="310">
        <v>0</v>
      </c>
      <c r="L425" s="311">
        <v>0</v>
      </c>
      <c r="M425" s="330" t="s">
        <v>872</v>
      </c>
    </row>
    <row r="426" s="263" customFormat="1" ht="26" customHeight="1" spans="1:13">
      <c r="A426" s="300" t="s">
        <v>873</v>
      </c>
      <c r="B426" s="301" t="s">
        <v>874</v>
      </c>
      <c r="C426" s="302"/>
      <c r="D426" s="303">
        <f t="shared" ref="D426:L426" si="319">D427</f>
        <v>72.987</v>
      </c>
      <c r="E426" s="304">
        <f t="shared" si="319"/>
        <v>68.097</v>
      </c>
      <c r="F426" s="305">
        <f t="shared" si="319"/>
        <v>64.2819</v>
      </c>
      <c r="G426" s="303">
        <f t="shared" si="319"/>
        <v>3.8091</v>
      </c>
      <c r="H426" s="304">
        <f t="shared" si="319"/>
        <v>0.006</v>
      </c>
      <c r="I426" s="327">
        <f t="shared" si="319"/>
        <v>4.89</v>
      </c>
      <c r="J426" s="303">
        <f t="shared" si="319"/>
        <v>4.89</v>
      </c>
      <c r="K426" s="304">
        <f t="shared" si="319"/>
        <v>0</v>
      </c>
      <c r="L426" s="305">
        <f t="shared" si="319"/>
        <v>0</v>
      </c>
      <c r="M426" s="328" t="s">
        <v>291</v>
      </c>
    </row>
    <row r="427" s="263" customFormat="1" ht="18.75" customHeight="1" spans="1:13">
      <c r="A427" s="306" t="s">
        <v>298</v>
      </c>
      <c r="B427" s="307" t="s">
        <v>298</v>
      </c>
      <c r="C427" s="308" t="s">
        <v>540</v>
      </c>
      <c r="D427" s="309">
        <f t="shared" ref="D427:D432" si="320">E427+I427</f>
        <v>72.987</v>
      </c>
      <c r="E427" s="310">
        <f t="shared" ref="E427:E432" si="321">SUBTOTAL(9,F427:H427)</f>
        <v>68.097</v>
      </c>
      <c r="F427" s="311">
        <v>64.2819</v>
      </c>
      <c r="G427" s="309">
        <v>3.8091</v>
      </c>
      <c r="H427" s="310">
        <v>0.006</v>
      </c>
      <c r="I427" s="329">
        <f t="shared" ref="I427:I432" si="322">SUBTOTAL(9,J427:L427)</f>
        <v>4.89</v>
      </c>
      <c r="J427" s="309">
        <v>4.89</v>
      </c>
      <c r="K427" s="310">
        <v>0</v>
      </c>
      <c r="L427" s="311">
        <v>0</v>
      </c>
      <c r="M427" s="330" t="s">
        <v>875</v>
      </c>
    </row>
    <row r="428" s="263" customFormat="1" ht="18.75" customHeight="1" spans="1:13">
      <c r="A428" s="294" t="s">
        <v>876</v>
      </c>
      <c r="B428" s="295" t="s">
        <v>877</v>
      </c>
      <c r="C428" s="296"/>
      <c r="D428" s="297">
        <f t="shared" ref="D428:L428" si="323">D429+D431+D433+D435</f>
        <v>172</v>
      </c>
      <c r="E428" s="298">
        <f t="shared" si="323"/>
        <v>0</v>
      </c>
      <c r="F428" s="299">
        <f t="shared" si="323"/>
        <v>0</v>
      </c>
      <c r="G428" s="297">
        <f t="shared" si="323"/>
        <v>0</v>
      </c>
      <c r="H428" s="298">
        <f t="shared" si="323"/>
        <v>0</v>
      </c>
      <c r="I428" s="325">
        <f t="shared" si="323"/>
        <v>172</v>
      </c>
      <c r="J428" s="297">
        <f t="shared" si="323"/>
        <v>92</v>
      </c>
      <c r="K428" s="298">
        <f t="shared" si="323"/>
        <v>0</v>
      </c>
      <c r="L428" s="299">
        <f t="shared" si="323"/>
        <v>80</v>
      </c>
      <c r="M428" s="326" t="s">
        <v>291</v>
      </c>
    </row>
    <row r="429" s="263" customFormat="1" ht="22" customHeight="1" spans="1:13">
      <c r="A429" s="300" t="s">
        <v>878</v>
      </c>
      <c r="B429" s="301" t="s">
        <v>879</v>
      </c>
      <c r="C429" s="302"/>
      <c r="D429" s="303">
        <f t="shared" ref="D429:L429" si="324">D430</f>
        <v>15</v>
      </c>
      <c r="E429" s="304">
        <f t="shared" si="324"/>
        <v>0</v>
      </c>
      <c r="F429" s="305">
        <f t="shared" si="324"/>
        <v>0</v>
      </c>
      <c r="G429" s="303">
        <f t="shared" si="324"/>
        <v>0</v>
      </c>
      <c r="H429" s="304">
        <f t="shared" si="324"/>
        <v>0</v>
      </c>
      <c r="I429" s="327">
        <f t="shared" si="324"/>
        <v>15</v>
      </c>
      <c r="J429" s="303">
        <f t="shared" si="324"/>
        <v>15</v>
      </c>
      <c r="K429" s="304">
        <f t="shared" si="324"/>
        <v>0</v>
      </c>
      <c r="L429" s="305">
        <f t="shared" si="324"/>
        <v>0</v>
      </c>
      <c r="M429" s="328" t="s">
        <v>291</v>
      </c>
    </row>
    <row r="430" s="263" customFormat="1" ht="18.75" customHeight="1" spans="1:13">
      <c r="A430" s="306" t="s">
        <v>298</v>
      </c>
      <c r="B430" s="307" t="s">
        <v>298</v>
      </c>
      <c r="C430" s="308" t="s">
        <v>540</v>
      </c>
      <c r="D430" s="309">
        <f t="shared" si="320"/>
        <v>15</v>
      </c>
      <c r="E430" s="310">
        <f t="shared" si="321"/>
        <v>0</v>
      </c>
      <c r="F430" s="311">
        <v>0</v>
      </c>
      <c r="G430" s="309">
        <v>0</v>
      </c>
      <c r="H430" s="310">
        <v>0</v>
      </c>
      <c r="I430" s="329">
        <f t="shared" si="322"/>
        <v>15</v>
      </c>
      <c r="J430" s="309">
        <v>15</v>
      </c>
      <c r="K430" s="310">
        <v>0</v>
      </c>
      <c r="L430" s="311">
        <v>0</v>
      </c>
      <c r="M430" s="330" t="s">
        <v>880</v>
      </c>
    </row>
    <row r="431" s="263" customFormat="1" ht="22" customHeight="1" spans="1:13">
      <c r="A431" s="300" t="s">
        <v>881</v>
      </c>
      <c r="B431" s="301" t="s">
        <v>882</v>
      </c>
      <c r="C431" s="302"/>
      <c r="D431" s="303">
        <f t="shared" ref="D431:L431" si="325">D432</f>
        <v>80</v>
      </c>
      <c r="E431" s="304">
        <f t="shared" si="325"/>
        <v>0</v>
      </c>
      <c r="F431" s="305">
        <f t="shared" si="325"/>
        <v>0</v>
      </c>
      <c r="G431" s="303">
        <f t="shared" si="325"/>
        <v>0</v>
      </c>
      <c r="H431" s="304">
        <f t="shared" si="325"/>
        <v>0</v>
      </c>
      <c r="I431" s="327">
        <f t="shared" si="325"/>
        <v>80</v>
      </c>
      <c r="J431" s="303">
        <f t="shared" si="325"/>
        <v>0</v>
      </c>
      <c r="K431" s="304">
        <f t="shared" si="325"/>
        <v>0</v>
      </c>
      <c r="L431" s="305">
        <f t="shared" si="325"/>
        <v>80</v>
      </c>
      <c r="M431" s="328" t="s">
        <v>291</v>
      </c>
    </row>
    <row r="432" s="263" customFormat="1" ht="27" customHeight="1" spans="1:13">
      <c r="A432" s="306" t="s">
        <v>298</v>
      </c>
      <c r="B432" s="307" t="s">
        <v>298</v>
      </c>
      <c r="C432" s="308" t="s">
        <v>540</v>
      </c>
      <c r="D432" s="309">
        <f t="shared" si="320"/>
        <v>80</v>
      </c>
      <c r="E432" s="310">
        <f t="shared" si="321"/>
        <v>0</v>
      </c>
      <c r="F432" s="311">
        <v>0</v>
      </c>
      <c r="G432" s="309">
        <v>0</v>
      </c>
      <c r="H432" s="310">
        <v>0</v>
      </c>
      <c r="I432" s="329">
        <f t="shared" si="322"/>
        <v>80</v>
      </c>
      <c r="J432" s="309">
        <v>0</v>
      </c>
      <c r="K432" s="310">
        <v>0</v>
      </c>
      <c r="L432" s="311">
        <v>80</v>
      </c>
      <c r="M432" s="330" t="s">
        <v>883</v>
      </c>
    </row>
    <row r="433" s="263" customFormat="1" ht="22" customHeight="1" spans="1:13">
      <c r="A433" s="300" t="s">
        <v>884</v>
      </c>
      <c r="B433" s="301" t="s">
        <v>885</v>
      </c>
      <c r="C433" s="302"/>
      <c r="D433" s="303">
        <f t="shared" ref="D433:L433" si="326">D434</f>
        <v>27</v>
      </c>
      <c r="E433" s="304">
        <f t="shared" si="326"/>
        <v>0</v>
      </c>
      <c r="F433" s="305">
        <f t="shared" si="326"/>
        <v>0</v>
      </c>
      <c r="G433" s="303">
        <f t="shared" si="326"/>
        <v>0</v>
      </c>
      <c r="H433" s="304">
        <f t="shared" si="326"/>
        <v>0</v>
      </c>
      <c r="I433" s="327">
        <f t="shared" si="326"/>
        <v>27</v>
      </c>
      <c r="J433" s="303">
        <f t="shared" si="326"/>
        <v>27</v>
      </c>
      <c r="K433" s="304">
        <f t="shared" si="326"/>
        <v>0</v>
      </c>
      <c r="L433" s="305">
        <f t="shared" si="326"/>
        <v>0</v>
      </c>
      <c r="M433" s="328" t="s">
        <v>291</v>
      </c>
    </row>
    <row r="434" s="263" customFormat="1" ht="18.75" customHeight="1" spans="1:13">
      <c r="A434" s="306" t="s">
        <v>298</v>
      </c>
      <c r="B434" s="307" t="s">
        <v>298</v>
      </c>
      <c r="C434" s="308" t="s">
        <v>540</v>
      </c>
      <c r="D434" s="309">
        <f t="shared" ref="D434:D439" si="327">E434+I434</f>
        <v>27</v>
      </c>
      <c r="E434" s="310">
        <f t="shared" ref="E434:E439" si="328">SUBTOTAL(9,F434:H434)</f>
        <v>0</v>
      </c>
      <c r="F434" s="311">
        <v>0</v>
      </c>
      <c r="G434" s="309">
        <v>0</v>
      </c>
      <c r="H434" s="310">
        <v>0</v>
      </c>
      <c r="I434" s="329">
        <f t="shared" ref="I434:I439" si="329">SUBTOTAL(9,J434:L434)</f>
        <v>27</v>
      </c>
      <c r="J434" s="309">
        <f>25+2</f>
        <v>27</v>
      </c>
      <c r="K434" s="310">
        <v>0</v>
      </c>
      <c r="L434" s="311">
        <v>0</v>
      </c>
      <c r="M434" s="330" t="s">
        <v>886</v>
      </c>
    </row>
    <row r="435" s="263" customFormat="1" ht="22" customHeight="1" spans="1:13">
      <c r="A435" s="300" t="s">
        <v>887</v>
      </c>
      <c r="B435" s="301" t="s">
        <v>888</v>
      </c>
      <c r="C435" s="302"/>
      <c r="D435" s="303">
        <f t="shared" ref="D435:L435" si="330">D436</f>
        <v>50</v>
      </c>
      <c r="E435" s="304">
        <f t="shared" si="330"/>
        <v>0</v>
      </c>
      <c r="F435" s="305">
        <f t="shared" si="330"/>
        <v>0</v>
      </c>
      <c r="G435" s="303">
        <f t="shared" si="330"/>
        <v>0</v>
      </c>
      <c r="H435" s="304">
        <f t="shared" si="330"/>
        <v>0</v>
      </c>
      <c r="I435" s="327">
        <f t="shared" si="330"/>
        <v>50</v>
      </c>
      <c r="J435" s="303">
        <f t="shared" si="330"/>
        <v>50</v>
      </c>
      <c r="K435" s="304">
        <f t="shared" si="330"/>
        <v>0</v>
      </c>
      <c r="L435" s="305">
        <f t="shared" si="330"/>
        <v>0</v>
      </c>
      <c r="M435" s="328" t="s">
        <v>291</v>
      </c>
    </row>
    <row r="436" s="263" customFormat="1" ht="18.75" customHeight="1" spans="1:13">
      <c r="A436" s="306" t="s">
        <v>298</v>
      </c>
      <c r="B436" s="307" t="s">
        <v>298</v>
      </c>
      <c r="C436" s="308" t="s">
        <v>540</v>
      </c>
      <c r="D436" s="309">
        <f t="shared" si="327"/>
        <v>50</v>
      </c>
      <c r="E436" s="310">
        <f t="shared" si="328"/>
        <v>0</v>
      </c>
      <c r="F436" s="311">
        <v>0</v>
      </c>
      <c r="G436" s="309">
        <v>0</v>
      </c>
      <c r="H436" s="310">
        <v>0</v>
      </c>
      <c r="I436" s="329">
        <f t="shared" si="329"/>
        <v>50</v>
      </c>
      <c r="J436" s="309">
        <v>50</v>
      </c>
      <c r="K436" s="310">
        <v>0</v>
      </c>
      <c r="L436" s="311">
        <v>0</v>
      </c>
      <c r="M436" s="330" t="s">
        <v>889</v>
      </c>
    </row>
    <row r="437" s="263" customFormat="1" ht="18.75" customHeight="1" spans="1:13">
      <c r="A437" s="294" t="s">
        <v>890</v>
      </c>
      <c r="B437" s="295" t="s">
        <v>891</v>
      </c>
      <c r="C437" s="296"/>
      <c r="D437" s="297">
        <f t="shared" ref="D437:L437" si="331">D438+D440</f>
        <v>12</v>
      </c>
      <c r="E437" s="298">
        <f t="shared" si="331"/>
        <v>0</v>
      </c>
      <c r="F437" s="299">
        <f t="shared" si="331"/>
        <v>0</v>
      </c>
      <c r="G437" s="297">
        <f t="shared" si="331"/>
        <v>0</v>
      </c>
      <c r="H437" s="298">
        <f t="shared" si="331"/>
        <v>0</v>
      </c>
      <c r="I437" s="325">
        <f t="shared" si="331"/>
        <v>12</v>
      </c>
      <c r="J437" s="297">
        <f t="shared" si="331"/>
        <v>12</v>
      </c>
      <c r="K437" s="298">
        <f t="shared" si="331"/>
        <v>0</v>
      </c>
      <c r="L437" s="299">
        <f t="shared" si="331"/>
        <v>0</v>
      </c>
      <c r="M437" s="326" t="s">
        <v>291</v>
      </c>
    </row>
    <row r="438" s="263" customFormat="1" ht="26" customHeight="1" spans="1:13">
      <c r="A438" s="300" t="s">
        <v>892</v>
      </c>
      <c r="B438" s="301" t="s">
        <v>893</v>
      </c>
      <c r="C438" s="302"/>
      <c r="D438" s="303">
        <f t="shared" ref="D438:L438" si="332">D439</f>
        <v>5</v>
      </c>
      <c r="E438" s="304">
        <f t="shared" si="332"/>
        <v>0</v>
      </c>
      <c r="F438" s="305">
        <f t="shared" si="332"/>
        <v>0</v>
      </c>
      <c r="G438" s="303">
        <f t="shared" si="332"/>
        <v>0</v>
      </c>
      <c r="H438" s="304">
        <f t="shared" si="332"/>
        <v>0</v>
      </c>
      <c r="I438" s="327">
        <f t="shared" si="332"/>
        <v>5</v>
      </c>
      <c r="J438" s="303">
        <f t="shared" si="332"/>
        <v>5</v>
      </c>
      <c r="K438" s="304">
        <f t="shared" si="332"/>
        <v>0</v>
      </c>
      <c r="L438" s="305">
        <f t="shared" si="332"/>
        <v>0</v>
      </c>
      <c r="M438" s="328" t="s">
        <v>291</v>
      </c>
    </row>
    <row r="439" s="263" customFormat="1" ht="26" customHeight="1" spans="1:13">
      <c r="A439" s="306" t="s">
        <v>298</v>
      </c>
      <c r="B439" s="307" t="s">
        <v>298</v>
      </c>
      <c r="C439" s="308" t="s">
        <v>545</v>
      </c>
      <c r="D439" s="309">
        <f t="shared" si="327"/>
        <v>5</v>
      </c>
      <c r="E439" s="310">
        <f t="shared" si="328"/>
        <v>0</v>
      </c>
      <c r="F439" s="311">
        <v>0</v>
      </c>
      <c r="G439" s="309">
        <v>0</v>
      </c>
      <c r="H439" s="310">
        <v>0</v>
      </c>
      <c r="I439" s="329">
        <f t="shared" si="329"/>
        <v>5</v>
      </c>
      <c r="J439" s="309">
        <v>5</v>
      </c>
      <c r="K439" s="310">
        <v>0</v>
      </c>
      <c r="L439" s="311">
        <v>0</v>
      </c>
      <c r="M439" s="330" t="s">
        <v>894</v>
      </c>
    </row>
    <row r="440" s="263" customFormat="1" ht="22" customHeight="1" spans="1:13">
      <c r="A440" s="300" t="s">
        <v>895</v>
      </c>
      <c r="B440" s="301" t="s">
        <v>896</v>
      </c>
      <c r="C440" s="302"/>
      <c r="D440" s="303">
        <f t="shared" ref="D440:L440" si="333">D441</f>
        <v>7</v>
      </c>
      <c r="E440" s="304">
        <f t="shared" si="333"/>
        <v>0</v>
      </c>
      <c r="F440" s="305">
        <f t="shared" si="333"/>
        <v>0</v>
      </c>
      <c r="G440" s="303">
        <f t="shared" si="333"/>
        <v>0</v>
      </c>
      <c r="H440" s="304">
        <f t="shared" si="333"/>
        <v>0</v>
      </c>
      <c r="I440" s="327">
        <f t="shared" si="333"/>
        <v>7</v>
      </c>
      <c r="J440" s="303">
        <f t="shared" si="333"/>
        <v>7</v>
      </c>
      <c r="K440" s="304">
        <f t="shared" si="333"/>
        <v>0</v>
      </c>
      <c r="L440" s="305">
        <f t="shared" si="333"/>
        <v>0</v>
      </c>
      <c r="M440" s="328" t="s">
        <v>291</v>
      </c>
    </row>
    <row r="441" s="263" customFormat="1" ht="25" customHeight="1" spans="1:13">
      <c r="A441" s="306" t="s">
        <v>298</v>
      </c>
      <c r="B441" s="307" t="s">
        <v>298</v>
      </c>
      <c r="C441" s="308" t="s">
        <v>545</v>
      </c>
      <c r="D441" s="309">
        <f>E441+I441</f>
        <v>7</v>
      </c>
      <c r="E441" s="310">
        <f>SUBTOTAL(9,F441:H441)</f>
        <v>0</v>
      </c>
      <c r="F441" s="311">
        <v>0</v>
      </c>
      <c r="G441" s="309">
        <v>0</v>
      </c>
      <c r="H441" s="310">
        <v>0</v>
      </c>
      <c r="I441" s="329">
        <f>SUBTOTAL(9,J441:L441)</f>
        <v>7</v>
      </c>
      <c r="J441" s="309">
        <v>7</v>
      </c>
      <c r="K441" s="310">
        <v>0</v>
      </c>
      <c r="L441" s="311">
        <v>0</v>
      </c>
      <c r="M441" s="330" t="s">
        <v>897</v>
      </c>
    </row>
    <row r="442" s="263" customFormat="1" ht="24" customHeight="1" spans="1:13">
      <c r="A442" s="294" t="s">
        <v>898</v>
      </c>
      <c r="B442" s="295" t="s">
        <v>899</v>
      </c>
      <c r="C442" s="296"/>
      <c r="D442" s="297">
        <f t="shared" ref="D442:L442" si="334">D443</f>
        <v>20</v>
      </c>
      <c r="E442" s="298">
        <f t="shared" si="334"/>
        <v>0</v>
      </c>
      <c r="F442" s="299">
        <f t="shared" si="334"/>
        <v>0</v>
      </c>
      <c r="G442" s="297">
        <f t="shared" si="334"/>
        <v>0</v>
      </c>
      <c r="H442" s="298">
        <f t="shared" si="334"/>
        <v>0</v>
      </c>
      <c r="I442" s="325">
        <f t="shared" si="334"/>
        <v>20</v>
      </c>
      <c r="J442" s="297">
        <f t="shared" si="334"/>
        <v>0</v>
      </c>
      <c r="K442" s="298">
        <f t="shared" si="334"/>
        <v>0</v>
      </c>
      <c r="L442" s="299">
        <f t="shared" si="334"/>
        <v>20</v>
      </c>
      <c r="M442" s="326" t="s">
        <v>291</v>
      </c>
    </row>
    <row r="443" s="263" customFormat="1" ht="34" customHeight="1" spans="1:13">
      <c r="A443" s="300" t="s">
        <v>900</v>
      </c>
      <c r="B443" s="301" t="s">
        <v>901</v>
      </c>
      <c r="C443" s="302"/>
      <c r="D443" s="303">
        <f t="shared" ref="D443:L443" si="335">D444</f>
        <v>20</v>
      </c>
      <c r="E443" s="304">
        <f t="shared" si="335"/>
        <v>0</v>
      </c>
      <c r="F443" s="305">
        <f t="shared" si="335"/>
        <v>0</v>
      </c>
      <c r="G443" s="303">
        <f t="shared" si="335"/>
        <v>0</v>
      </c>
      <c r="H443" s="304">
        <f t="shared" si="335"/>
        <v>0</v>
      </c>
      <c r="I443" s="327">
        <f t="shared" si="335"/>
        <v>20</v>
      </c>
      <c r="J443" s="303">
        <f t="shared" si="335"/>
        <v>0</v>
      </c>
      <c r="K443" s="304">
        <f t="shared" si="335"/>
        <v>0</v>
      </c>
      <c r="L443" s="305">
        <f t="shared" si="335"/>
        <v>20</v>
      </c>
      <c r="M443" s="328" t="s">
        <v>291</v>
      </c>
    </row>
    <row r="444" s="263" customFormat="1" ht="33" customHeight="1" spans="1:13">
      <c r="A444" s="306" t="s">
        <v>298</v>
      </c>
      <c r="B444" s="307" t="s">
        <v>298</v>
      </c>
      <c r="C444" s="308" t="s">
        <v>540</v>
      </c>
      <c r="D444" s="309">
        <f t="shared" ref="D444:D448" si="336">E444+I444</f>
        <v>20</v>
      </c>
      <c r="E444" s="310">
        <f t="shared" ref="E444:E448" si="337">SUBTOTAL(9,F444:H444)</f>
        <v>0</v>
      </c>
      <c r="F444" s="311">
        <v>0</v>
      </c>
      <c r="G444" s="309">
        <v>0</v>
      </c>
      <c r="H444" s="310">
        <v>0</v>
      </c>
      <c r="I444" s="329">
        <f t="shared" ref="I444:I448" si="338">SUBTOTAL(9,J444:L444)</f>
        <v>20</v>
      </c>
      <c r="J444" s="309">
        <v>0</v>
      </c>
      <c r="K444" s="310">
        <v>0</v>
      </c>
      <c r="L444" s="311">
        <v>20</v>
      </c>
      <c r="M444" s="330" t="s">
        <v>902</v>
      </c>
    </row>
    <row r="445" s="263" customFormat="1" ht="18.75" customHeight="1" spans="1:13">
      <c r="A445" s="294" t="s">
        <v>903</v>
      </c>
      <c r="B445" s="295" t="s">
        <v>904</v>
      </c>
      <c r="C445" s="296"/>
      <c r="D445" s="297">
        <f t="shared" ref="D445:L445" si="339">D446+D449</f>
        <v>418.4988</v>
      </c>
      <c r="E445" s="298">
        <f t="shared" si="339"/>
        <v>269.1988</v>
      </c>
      <c r="F445" s="299">
        <f t="shared" si="339"/>
        <v>256.1069</v>
      </c>
      <c r="G445" s="297">
        <f t="shared" si="339"/>
        <v>5.7215</v>
      </c>
      <c r="H445" s="298">
        <f t="shared" si="339"/>
        <v>7.3704</v>
      </c>
      <c r="I445" s="325">
        <f t="shared" si="339"/>
        <v>149.3</v>
      </c>
      <c r="J445" s="297">
        <f t="shared" si="339"/>
        <v>107.3</v>
      </c>
      <c r="K445" s="298">
        <f t="shared" si="339"/>
        <v>0</v>
      </c>
      <c r="L445" s="299">
        <f t="shared" si="339"/>
        <v>42</v>
      </c>
      <c r="M445" s="326" t="s">
        <v>291</v>
      </c>
    </row>
    <row r="446" s="263" customFormat="1" ht="22" customHeight="1" spans="1:13">
      <c r="A446" s="300" t="s">
        <v>905</v>
      </c>
      <c r="B446" s="301" t="s">
        <v>906</v>
      </c>
      <c r="C446" s="302"/>
      <c r="D446" s="303">
        <f t="shared" ref="D446:L446" si="340">SUM(D447:D448)</f>
        <v>313.1988</v>
      </c>
      <c r="E446" s="304">
        <f t="shared" si="340"/>
        <v>269.1988</v>
      </c>
      <c r="F446" s="305">
        <f t="shared" si="340"/>
        <v>256.1069</v>
      </c>
      <c r="G446" s="303">
        <f t="shared" si="340"/>
        <v>5.7215</v>
      </c>
      <c r="H446" s="304">
        <f t="shared" si="340"/>
        <v>7.3704</v>
      </c>
      <c r="I446" s="327">
        <f t="shared" si="340"/>
        <v>44</v>
      </c>
      <c r="J446" s="303">
        <f t="shared" si="340"/>
        <v>2</v>
      </c>
      <c r="K446" s="304">
        <f t="shared" si="340"/>
        <v>0</v>
      </c>
      <c r="L446" s="305">
        <f t="shared" si="340"/>
        <v>42</v>
      </c>
      <c r="M446" s="328" t="s">
        <v>291</v>
      </c>
    </row>
    <row r="447" s="263" customFormat="1" ht="72" customHeight="1" spans="1:13">
      <c r="A447" s="306" t="s">
        <v>298</v>
      </c>
      <c r="B447" s="307" t="s">
        <v>298</v>
      </c>
      <c r="C447" s="308" t="s">
        <v>540</v>
      </c>
      <c r="D447" s="309">
        <f t="shared" si="336"/>
        <v>42</v>
      </c>
      <c r="E447" s="310">
        <f t="shared" si="337"/>
        <v>0</v>
      </c>
      <c r="F447" s="311">
        <v>0</v>
      </c>
      <c r="G447" s="309">
        <v>0</v>
      </c>
      <c r="H447" s="310">
        <v>0</v>
      </c>
      <c r="I447" s="329">
        <f t="shared" si="338"/>
        <v>42</v>
      </c>
      <c r="J447" s="309">
        <v>0</v>
      </c>
      <c r="K447" s="310">
        <v>0</v>
      </c>
      <c r="L447" s="311">
        <f>19.2+22.8</f>
        <v>42</v>
      </c>
      <c r="M447" s="330" t="s">
        <v>907</v>
      </c>
    </row>
    <row r="448" s="263" customFormat="1" ht="24" customHeight="1" spans="1:13">
      <c r="A448" s="306" t="s">
        <v>298</v>
      </c>
      <c r="B448" s="307" t="s">
        <v>298</v>
      </c>
      <c r="C448" s="308" t="s">
        <v>542</v>
      </c>
      <c r="D448" s="309">
        <f t="shared" si="336"/>
        <v>271.1988</v>
      </c>
      <c r="E448" s="310">
        <f t="shared" si="337"/>
        <v>269.1988</v>
      </c>
      <c r="F448" s="311">
        <v>256.1069</v>
      </c>
      <c r="G448" s="309">
        <v>5.7215</v>
      </c>
      <c r="H448" s="310">
        <v>7.3704</v>
      </c>
      <c r="I448" s="329">
        <f t="shared" si="338"/>
        <v>2</v>
      </c>
      <c r="J448" s="309">
        <v>2</v>
      </c>
      <c r="K448" s="310">
        <v>0</v>
      </c>
      <c r="L448" s="311">
        <v>0</v>
      </c>
      <c r="M448" s="330" t="s">
        <v>908</v>
      </c>
    </row>
    <row r="449" s="263" customFormat="1" ht="22" customHeight="1" spans="1:13">
      <c r="A449" s="300" t="s">
        <v>909</v>
      </c>
      <c r="B449" s="301" t="s">
        <v>910</v>
      </c>
      <c r="C449" s="302"/>
      <c r="D449" s="303">
        <f t="shared" ref="D449:L449" si="341">D450</f>
        <v>105.3</v>
      </c>
      <c r="E449" s="304">
        <f t="shared" si="341"/>
        <v>0</v>
      </c>
      <c r="F449" s="305">
        <f t="shared" si="341"/>
        <v>0</v>
      </c>
      <c r="G449" s="303">
        <f t="shared" si="341"/>
        <v>0</v>
      </c>
      <c r="H449" s="304">
        <f t="shared" si="341"/>
        <v>0</v>
      </c>
      <c r="I449" s="327">
        <f t="shared" si="341"/>
        <v>105.3</v>
      </c>
      <c r="J449" s="303">
        <f t="shared" si="341"/>
        <v>105.3</v>
      </c>
      <c r="K449" s="304">
        <f t="shared" si="341"/>
        <v>0</v>
      </c>
      <c r="L449" s="305">
        <f t="shared" si="341"/>
        <v>0</v>
      </c>
      <c r="M449" s="328" t="s">
        <v>291</v>
      </c>
    </row>
    <row r="450" s="263" customFormat="1" ht="87" customHeight="1" spans="1:13">
      <c r="A450" s="306" t="s">
        <v>298</v>
      </c>
      <c r="B450" s="307" t="s">
        <v>298</v>
      </c>
      <c r="C450" s="308" t="s">
        <v>542</v>
      </c>
      <c r="D450" s="309">
        <f t="shared" ref="D450:D454" si="342">E450+I450</f>
        <v>105.3</v>
      </c>
      <c r="E450" s="310">
        <f t="shared" ref="E450:E454" si="343">SUBTOTAL(9,F450:H450)</f>
        <v>0</v>
      </c>
      <c r="F450" s="311">
        <v>0</v>
      </c>
      <c r="G450" s="309">
        <v>0</v>
      </c>
      <c r="H450" s="310">
        <v>0</v>
      </c>
      <c r="I450" s="329">
        <f t="shared" ref="I450:I454" si="344">SUBTOTAL(9,J450:L450)</f>
        <v>105.3</v>
      </c>
      <c r="J450" s="309">
        <v>105.3</v>
      </c>
      <c r="K450" s="310">
        <v>0</v>
      </c>
      <c r="L450" s="311">
        <v>0</v>
      </c>
      <c r="M450" s="330" t="s">
        <v>911</v>
      </c>
    </row>
    <row r="451" s="263" customFormat="1" ht="32" customHeight="1" spans="1:13">
      <c r="A451" s="294" t="s">
        <v>912</v>
      </c>
      <c r="B451" s="295" t="s">
        <v>913</v>
      </c>
      <c r="C451" s="296"/>
      <c r="D451" s="297">
        <f t="shared" ref="D451:L451" si="345">D452</f>
        <v>111</v>
      </c>
      <c r="E451" s="298">
        <f t="shared" si="345"/>
        <v>90</v>
      </c>
      <c r="F451" s="299">
        <f t="shared" si="345"/>
        <v>0</v>
      </c>
      <c r="G451" s="297">
        <f t="shared" si="345"/>
        <v>0</v>
      </c>
      <c r="H451" s="298">
        <f t="shared" si="345"/>
        <v>90</v>
      </c>
      <c r="I451" s="325">
        <f t="shared" si="345"/>
        <v>21</v>
      </c>
      <c r="J451" s="297">
        <f t="shared" si="345"/>
        <v>0</v>
      </c>
      <c r="K451" s="298">
        <f t="shared" si="345"/>
        <v>0</v>
      </c>
      <c r="L451" s="299">
        <f t="shared" si="345"/>
        <v>21</v>
      </c>
      <c r="M451" s="326" t="s">
        <v>291</v>
      </c>
    </row>
    <row r="452" s="263" customFormat="1" ht="28" customHeight="1" spans="1:13">
      <c r="A452" s="300" t="s">
        <v>914</v>
      </c>
      <c r="B452" s="301" t="s">
        <v>915</v>
      </c>
      <c r="C452" s="302"/>
      <c r="D452" s="303">
        <f t="shared" ref="D452:L452" si="346">SUM(D453:D454)</f>
        <v>111</v>
      </c>
      <c r="E452" s="304">
        <f t="shared" si="346"/>
        <v>90</v>
      </c>
      <c r="F452" s="305">
        <f t="shared" si="346"/>
        <v>0</v>
      </c>
      <c r="G452" s="303">
        <f t="shared" si="346"/>
        <v>0</v>
      </c>
      <c r="H452" s="304">
        <f t="shared" si="346"/>
        <v>90</v>
      </c>
      <c r="I452" s="327">
        <f t="shared" si="346"/>
        <v>21</v>
      </c>
      <c r="J452" s="303">
        <f t="shared" si="346"/>
        <v>0</v>
      </c>
      <c r="K452" s="304">
        <f t="shared" si="346"/>
        <v>0</v>
      </c>
      <c r="L452" s="305">
        <f t="shared" si="346"/>
        <v>21</v>
      </c>
      <c r="M452" s="328" t="s">
        <v>291</v>
      </c>
    </row>
    <row r="453" s="263" customFormat="1" ht="27" customHeight="1" spans="1:13">
      <c r="A453" s="306" t="s">
        <v>298</v>
      </c>
      <c r="B453" s="307" t="s">
        <v>298</v>
      </c>
      <c r="C453" s="308" t="s">
        <v>540</v>
      </c>
      <c r="D453" s="309">
        <f t="shared" si="342"/>
        <v>21</v>
      </c>
      <c r="E453" s="310">
        <f t="shared" si="343"/>
        <v>0</v>
      </c>
      <c r="F453" s="311">
        <v>0</v>
      </c>
      <c r="G453" s="309">
        <v>0</v>
      </c>
      <c r="H453" s="310">
        <v>0</v>
      </c>
      <c r="I453" s="329">
        <f t="shared" si="344"/>
        <v>21</v>
      </c>
      <c r="J453" s="309">
        <v>0</v>
      </c>
      <c r="K453" s="310">
        <v>0</v>
      </c>
      <c r="L453" s="311">
        <v>21</v>
      </c>
      <c r="M453" s="330" t="s">
        <v>916</v>
      </c>
    </row>
    <row r="454" s="263" customFormat="1" ht="18.75" customHeight="1" spans="1:13">
      <c r="A454" s="306" t="s">
        <v>298</v>
      </c>
      <c r="B454" s="307" t="s">
        <v>298</v>
      </c>
      <c r="C454" s="308"/>
      <c r="D454" s="309">
        <f t="shared" si="342"/>
        <v>90</v>
      </c>
      <c r="E454" s="310">
        <f t="shared" si="343"/>
        <v>90</v>
      </c>
      <c r="F454" s="311">
        <v>0</v>
      </c>
      <c r="G454" s="309">
        <v>0</v>
      </c>
      <c r="H454" s="310">
        <v>90</v>
      </c>
      <c r="I454" s="329">
        <f t="shared" si="344"/>
        <v>0</v>
      </c>
      <c r="J454" s="309">
        <v>0</v>
      </c>
      <c r="K454" s="310">
        <v>0</v>
      </c>
      <c r="L454" s="311">
        <v>0</v>
      </c>
      <c r="M454" s="330" t="s">
        <v>291</v>
      </c>
    </row>
    <row r="455" s="263" customFormat="1" ht="25" customHeight="1" spans="1:13">
      <c r="A455" s="288" t="s">
        <v>917</v>
      </c>
      <c r="B455" s="289" t="s">
        <v>918</v>
      </c>
      <c r="C455" s="290"/>
      <c r="D455" s="291">
        <f t="shared" ref="D455:L455" si="347">D456+D473+D484+D571+D574+D587+D592+D605+D610+D621+D624+D629+D632+D635+D640+D647+D652</f>
        <v>29880.2269</v>
      </c>
      <c r="E455" s="292">
        <f t="shared" si="347"/>
        <v>14867.7118</v>
      </c>
      <c r="F455" s="293">
        <f t="shared" si="347"/>
        <v>13156.4531</v>
      </c>
      <c r="G455" s="291">
        <f t="shared" si="347"/>
        <v>134.2602</v>
      </c>
      <c r="H455" s="292">
        <f t="shared" si="347"/>
        <v>1576.9985</v>
      </c>
      <c r="I455" s="323">
        <f t="shared" si="347"/>
        <v>15012.5151</v>
      </c>
      <c r="J455" s="291">
        <f t="shared" si="347"/>
        <v>1845.5098</v>
      </c>
      <c r="K455" s="292">
        <f t="shared" si="347"/>
        <v>1.7753</v>
      </c>
      <c r="L455" s="293">
        <f t="shared" si="347"/>
        <v>13165.23</v>
      </c>
      <c r="M455" s="324" t="s">
        <v>291</v>
      </c>
    </row>
    <row r="456" s="263" customFormat="1" ht="28" customHeight="1" spans="1:13">
      <c r="A456" s="294" t="s">
        <v>919</v>
      </c>
      <c r="B456" s="295" t="s">
        <v>920</v>
      </c>
      <c r="C456" s="296"/>
      <c r="D456" s="297">
        <f t="shared" ref="D456:L456" si="348">D457+D459+D461+D463+D465+D468+D470</f>
        <v>1481.5406</v>
      </c>
      <c r="E456" s="298">
        <f t="shared" si="348"/>
        <v>943.3653</v>
      </c>
      <c r="F456" s="299">
        <f t="shared" si="348"/>
        <v>828.1517</v>
      </c>
      <c r="G456" s="297">
        <f t="shared" si="348"/>
        <v>90.274</v>
      </c>
      <c r="H456" s="298">
        <f t="shared" si="348"/>
        <v>24.9396</v>
      </c>
      <c r="I456" s="325">
        <f t="shared" si="348"/>
        <v>538.1753</v>
      </c>
      <c r="J456" s="297">
        <f t="shared" si="348"/>
        <v>147.98</v>
      </c>
      <c r="K456" s="298">
        <f t="shared" si="348"/>
        <v>1.7753</v>
      </c>
      <c r="L456" s="299">
        <f t="shared" si="348"/>
        <v>388.42</v>
      </c>
      <c r="M456" s="326" t="s">
        <v>291</v>
      </c>
    </row>
    <row r="457" s="263" customFormat="1" ht="26" customHeight="1" spans="1:13">
      <c r="A457" s="300" t="s">
        <v>921</v>
      </c>
      <c r="B457" s="301" t="s">
        <v>922</v>
      </c>
      <c r="C457" s="302"/>
      <c r="D457" s="303">
        <f t="shared" ref="D457:L457" si="349">D458</f>
        <v>207.2777</v>
      </c>
      <c r="E457" s="304">
        <f t="shared" si="349"/>
        <v>206.9477</v>
      </c>
      <c r="F457" s="305">
        <f t="shared" si="349"/>
        <v>167.5551</v>
      </c>
      <c r="G457" s="303">
        <f t="shared" si="349"/>
        <v>25.794</v>
      </c>
      <c r="H457" s="304">
        <f t="shared" si="349"/>
        <v>13.5986</v>
      </c>
      <c r="I457" s="327">
        <f t="shared" si="349"/>
        <v>0.33</v>
      </c>
      <c r="J457" s="303">
        <f t="shared" si="349"/>
        <v>0.33</v>
      </c>
      <c r="K457" s="304">
        <f t="shared" si="349"/>
        <v>0</v>
      </c>
      <c r="L457" s="305">
        <f t="shared" si="349"/>
        <v>0</v>
      </c>
      <c r="M457" s="328" t="s">
        <v>291</v>
      </c>
    </row>
    <row r="458" s="263" customFormat="1" ht="18.75" customHeight="1" spans="1:13">
      <c r="A458" s="306" t="s">
        <v>298</v>
      </c>
      <c r="B458" s="307" t="s">
        <v>298</v>
      </c>
      <c r="C458" s="308" t="s">
        <v>556</v>
      </c>
      <c r="D458" s="309">
        <f t="shared" ref="D458:D462" si="350">E458+I458</f>
        <v>207.2777</v>
      </c>
      <c r="E458" s="310">
        <f t="shared" ref="E458:E462" si="351">SUBTOTAL(9,F458:H458)</f>
        <v>206.9477</v>
      </c>
      <c r="F458" s="311">
        <v>167.5551</v>
      </c>
      <c r="G458" s="309">
        <v>25.794</v>
      </c>
      <c r="H458" s="310">
        <v>13.5986</v>
      </c>
      <c r="I458" s="329">
        <f t="shared" ref="I458:I462" si="352">SUBTOTAL(9,J458:L458)</f>
        <v>0.33</v>
      </c>
      <c r="J458" s="309">
        <v>0.33</v>
      </c>
      <c r="K458" s="310">
        <v>0</v>
      </c>
      <c r="L458" s="311">
        <v>0</v>
      </c>
      <c r="M458" s="330" t="s">
        <v>923</v>
      </c>
    </row>
    <row r="459" s="263" customFormat="1" ht="22" customHeight="1" spans="1:13">
      <c r="A459" s="300" t="s">
        <v>924</v>
      </c>
      <c r="B459" s="301" t="s">
        <v>925</v>
      </c>
      <c r="C459" s="302"/>
      <c r="D459" s="303">
        <f t="shared" ref="D459:L459" si="353">D460</f>
        <v>12.88</v>
      </c>
      <c r="E459" s="304">
        <f t="shared" si="353"/>
        <v>0</v>
      </c>
      <c r="F459" s="305">
        <f t="shared" si="353"/>
        <v>0</v>
      </c>
      <c r="G459" s="303">
        <f t="shared" si="353"/>
        <v>0</v>
      </c>
      <c r="H459" s="304">
        <f t="shared" si="353"/>
        <v>0</v>
      </c>
      <c r="I459" s="327">
        <f t="shared" si="353"/>
        <v>12.88</v>
      </c>
      <c r="J459" s="303">
        <f t="shared" si="353"/>
        <v>12.88</v>
      </c>
      <c r="K459" s="304">
        <f t="shared" si="353"/>
        <v>0</v>
      </c>
      <c r="L459" s="305">
        <f t="shared" si="353"/>
        <v>0</v>
      </c>
      <c r="M459" s="328" t="s">
        <v>291</v>
      </c>
    </row>
    <row r="460" s="263" customFormat="1" ht="25" customHeight="1" spans="1:13">
      <c r="A460" s="306" t="s">
        <v>298</v>
      </c>
      <c r="B460" s="307" t="s">
        <v>298</v>
      </c>
      <c r="C460" s="308" t="s">
        <v>556</v>
      </c>
      <c r="D460" s="309">
        <f t="shared" si="350"/>
        <v>12.88</v>
      </c>
      <c r="E460" s="310">
        <f t="shared" si="351"/>
        <v>0</v>
      </c>
      <c r="F460" s="311">
        <v>0</v>
      </c>
      <c r="G460" s="309">
        <v>0</v>
      </c>
      <c r="H460" s="310">
        <v>0</v>
      </c>
      <c r="I460" s="329">
        <f t="shared" si="352"/>
        <v>12.88</v>
      </c>
      <c r="J460" s="309">
        <v>12.88</v>
      </c>
      <c r="K460" s="310">
        <v>0</v>
      </c>
      <c r="L460" s="311">
        <v>0</v>
      </c>
      <c r="M460" s="330" t="s">
        <v>926</v>
      </c>
    </row>
    <row r="461" s="263" customFormat="1" ht="22" customHeight="1" spans="1:13">
      <c r="A461" s="300" t="s">
        <v>927</v>
      </c>
      <c r="B461" s="301" t="s">
        <v>928</v>
      </c>
      <c r="C461" s="302"/>
      <c r="D461" s="303">
        <f t="shared" ref="D461:L461" si="354">D462</f>
        <v>11.27</v>
      </c>
      <c r="E461" s="304">
        <f t="shared" si="354"/>
        <v>0</v>
      </c>
      <c r="F461" s="305">
        <f t="shared" si="354"/>
        <v>0</v>
      </c>
      <c r="G461" s="303">
        <f t="shared" si="354"/>
        <v>0</v>
      </c>
      <c r="H461" s="304">
        <f t="shared" si="354"/>
        <v>0</v>
      </c>
      <c r="I461" s="327">
        <f t="shared" si="354"/>
        <v>11.27</v>
      </c>
      <c r="J461" s="303">
        <f t="shared" si="354"/>
        <v>11.27</v>
      </c>
      <c r="K461" s="304">
        <f t="shared" si="354"/>
        <v>0</v>
      </c>
      <c r="L461" s="305">
        <f t="shared" si="354"/>
        <v>0</v>
      </c>
      <c r="M461" s="328" t="s">
        <v>291</v>
      </c>
    </row>
    <row r="462" s="263" customFormat="1" ht="18.75" customHeight="1" spans="1:13">
      <c r="A462" s="306" t="s">
        <v>298</v>
      </c>
      <c r="B462" s="307" t="s">
        <v>298</v>
      </c>
      <c r="C462" s="308" t="s">
        <v>556</v>
      </c>
      <c r="D462" s="309">
        <f t="shared" si="350"/>
        <v>11.27</v>
      </c>
      <c r="E462" s="310">
        <f t="shared" si="351"/>
        <v>0</v>
      </c>
      <c r="F462" s="311">
        <v>0</v>
      </c>
      <c r="G462" s="309">
        <v>0</v>
      </c>
      <c r="H462" s="310">
        <v>0</v>
      </c>
      <c r="I462" s="329">
        <f t="shared" si="352"/>
        <v>11.27</v>
      </c>
      <c r="J462" s="309">
        <v>11.27</v>
      </c>
      <c r="K462" s="310">
        <v>0</v>
      </c>
      <c r="L462" s="311">
        <v>0</v>
      </c>
      <c r="M462" s="330" t="s">
        <v>929</v>
      </c>
    </row>
    <row r="463" s="263" customFormat="1" ht="22" customHeight="1" spans="1:13">
      <c r="A463" s="300" t="s">
        <v>930</v>
      </c>
      <c r="B463" s="301" t="s">
        <v>931</v>
      </c>
      <c r="C463" s="302"/>
      <c r="D463" s="303">
        <f t="shared" ref="D463:L463" si="355">D464</f>
        <v>105.4966</v>
      </c>
      <c r="E463" s="304">
        <f t="shared" si="355"/>
        <v>89.7366</v>
      </c>
      <c r="F463" s="305">
        <f t="shared" si="355"/>
        <v>77.3046</v>
      </c>
      <c r="G463" s="303">
        <f t="shared" si="355"/>
        <v>9.948</v>
      </c>
      <c r="H463" s="304">
        <f t="shared" si="355"/>
        <v>2.484</v>
      </c>
      <c r="I463" s="327">
        <f t="shared" si="355"/>
        <v>15.76</v>
      </c>
      <c r="J463" s="303">
        <f t="shared" si="355"/>
        <v>15.76</v>
      </c>
      <c r="K463" s="304">
        <f t="shared" si="355"/>
        <v>0</v>
      </c>
      <c r="L463" s="305">
        <f t="shared" si="355"/>
        <v>0</v>
      </c>
      <c r="M463" s="328" t="s">
        <v>291</v>
      </c>
    </row>
    <row r="464" s="263" customFormat="1" ht="28" customHeight="1" spans="1:13">
      <c r="A464" s="306" t="s">
        <v>298</v>
      </c>
      <c r="B464" s="307" t="s">
        <v>298</v>
      </c>
      <c r="C464" s="308" t="s">
        <v>556</v>
      </c>
      <c r="D464" s="309">
        <f t="shared" ref="D464:D467" si="356">E464+I464</f>
        <v>105.4966</v>
      </c>
      <c r="E464" s="310">
        <f t="shared" ref="E464:E469" si="357">SUBTOTAL(9,F464:H464)</f>
        <v>89.7366</v>
      </c>
      <c r="F464" s="311">
        <v>77.3046</v>
      </c>
      <c r="G464" s="309">
        <v>9.948</v>
      </c>
      <c r="H464" s="310">
        <v>2.484</v>
      </c>
      <c r="I464" s="329">
        <f t="shared" ref="I464:I469" si="358">SUBTOTAL(9,J464:L464)</f>
        <v>15.76</v>
      </c>
      <c r="J464" s="309">
        <v>15.76</v>
      </c>
      <c r="K464" s="310">
        <v>0</v>
      </c>
      <c r="L464" s="311">
        <v>0</v>
      </c>
      <c r="M464" s="330" t="s">
        <v>932</v>
      </c>
    </row>
    <row r="465" s="263" customFormat="1" ht="21" customHeight="1" spans="1:13">
      <c r="A465" s="300" t="s">
        <v>933</v>
      </c>
      <c r="B465" s="301" t="s">
        <v>934</v>
      </c>
      <c r="C465" s="302"/>
      <c r="D465" s="303">
        <f t="shared" ref="D465:L465" si="359">SUM(D466:D467)</f>
        <v>707.641</v>
      </c>
      <c r="E465" s="304">
        <f t="shared" si="359"/>
        <v>646.681</v>
      </c>
      <c r="F465" s="305">
        <f t="shared" si="359"/>
        <v>583.292</v>
      </c>
      <c r="G465" s="303">
        <f t="shared" si="359"/>
        <v>54.532</v>
      </c>
      <c r="H465" s="304">
        <f t="shared" si="359"/>
        <v>8.857</v>
      </c>
      <c r="I465" s="327">
        <f t="shared" si="359"/>
        <v>60.96</v>
      </c>
      <c r="J465" s="303">
        <f t="shared" si="359"/>
        <v>60.96</v>
      </c>
      <c r="K465" s="304">
        <f t="shared" si="359"/>
        <v>0</v>
      </c>
      <c r="L465" s="305">
        <f t="shared" si="359"/>
        <v>0</v>
      </c>
      <c r="M465" s="328" t="s">
        <v>291</v>
      </c>
    </row>
    <row r="466" s="263" customFormat="1" ht="81" customHeight="1" spans="1:13">
      <c r="A466" s="306" t="s">
        <v>298</v>
      </c>
      <c r="B466" s="307" t="s">
        <v>298</v>
      </c>
      <c r="C466" s="308" t="s">
        <v>556</v>
      </c>
      <c r="D466" s="309">
        <f t="shared" si="356"/>
        <v>369.7248</v>
      </c>
      <c r="E466" s="310">
        <f t="shared" si="357"/>
        <v>308.7648</v>
      </c>
      <c r="F466" s="311">
        <v>262.8278</v>
      </c>
      <c r="G466" s="309">
        <v>37.08</v>
      </c>
      <c r="H466" s="310">
        <v>8.857</v>
      </c>
      <c r="I466" s="329">
        <f t="shared" si="358"/>
        <v>60.96</v>
      </c>
      <c r="J466" s="309">
        <v>60.96</v>
      </c>
      <c r="K466" s="310">
        <v>0</v>
      </c>
      <c r="L466" s="311">
        <v>0</v>
      </c>
      <c r="M466" s="330" t="s">
        <v>935</v>
      </c>
    </row>
    <row r="467" s="263" customFormat="1" ht="32" customHeight="1" spans="1:13">
      <c r="A467" s="306"/>
      <c r="B467" s="307"/>
      <c r="C467" s="308" t="s">
        <v>301</v>
      </c>
      <c r="D467" s="309">
        <f t="shared" si="356"/>
        <v>337.9162</v>
      </c>
      <c r="E467" s="310">
        <f>SUM(F467:H467)</f>
        <v>337.9162</v>
      </c>
      <c r="F467" s="310">
        <v>320.4642</v>
      </c>
      <c r="G467" s="310">
        <v>17.452</v>
      </c>
      <c r="H467" s="310">
        <v>0</v>
      </c>
      <c r="I467" s="310"/>
      <c r="J467" s="309"/>
      <c r="K467" s="310"/>
      <c r="L467" s="311"/>
      <c r="M467" s="330"/>
    </row>
    <row r="468" s="263" customFormat="1" ht="24" customHeight="1" spans="1:13">
      <c r="A468" s="300" t="s">
        <v>936</v>
      </c>
      <c r="B468" s="301" t="s">
        <v>937</v>
      </c>
      <c r="C468" s="302"/>
      <c r="D468" s="303">
        <f t="shared" ref="D468:L468" si="360">D469</f>
        <v>7.2</v>
      </c>
      <c r="E468" s="304">
        <f t="shared" si="360"/>
        <v>0</v>
      </c>
      <c r="F468" s="305">
        <f t="shared" si="360"/>
        <v>0</v>
      </c>
      <c r="G468" s="303">
        <f t="shared" si="360"/>
        <v>0</v>
      </c>
      <c r="H468" s="304">
        <f t="shared" si="360"/>
        <v>0</v>
      </c>
      <c r="I468" s="327">
        <f t="shared" si="360"/>
        <v>7.2</v>
      </c>
      <c r="J468" s="303">
        <f t="shared" si="360"/>
        <v>7.2</v>
      </c>
      <c r="K468" s="304">
        <f t="shared" si="360"/>
        <v>0</v>
      </c>
      <c r="L468" s="305">
        <f t="shared" si="360"/>
        <v>0</v>
      </c>
      <c r="M468" s="328" t="s">
        <v>291</v>
      </c>
    </row>
    <row r="469" s="263" customFormat="1" ht="18.75" customHeight="1" spans="1:13">
      <c r="A469" s="306" t="s">
        <v>298</v>
      </c>
      <c r="B469" s="307" t="s">
        <v>298</v>
      </c>
      <c r="C469" s="308" t="s">
        <v>556</v>
      </c>
      <c r="D469" s="309">
        <f t="shared" ref="D469:D472" si="361">E469+I469</f>
        <v>7.2</v>
      </c>
      <c r="E469" s="310">
        <f t="shared" si="357"/>
        <v>0</v>
      </c>
      <c r="F469" s="311">
        <v>0</v>
      </c>
      <c r="G469" s="309">
        <v>0</v>
      </c>
      <c r="H469" s="310">
        <v>0</v>
      </c>
      <c r="I469" s="329">
        <f t="shared" si="358"/>
        <v>7.2</v>
      </c>
      <c r="J469" s="309">
        <v>7.2</v>
      </c>
      <c r="K469" s="310">
        <v>0</v>
      </c>
      <c r="L469" s="311">
        <v>0</v>
      </c>
      <c r="M469" s="330" t="s">
        <v>938</v>
      </c>
    </row>
    <row r="470" s="263" customFormat="1" ht="27" customHeight="1" spans="1:13">
      <c r="A470" s="300" t="s">
        <v>939</v>
      </c>
      <c r="B470" s="301" t="s">
        <v>940</v>
      </c>
      <c r="C470" s="302"/>
      <c r="D470" s="303">
        <f t="shared" ref="D470:L470" si="362">SUM(D471:D472)</f>
        <v>429.7753</v>
      </c>
      <c r="E470" s="304">
        <f t="shared" si="362"/>
        <v>0</v>
      </c>
      <c r="F470" s="305">
        <f t="shared" si="362"/>
        <v>0</v>
      </c>
      <c r="G470" s="303">
        <f t="shared" si="362"/>
        <v>0</v>
      </c>
      <c r="H470" s="304">
        <f t="shared" si="362"/>
        <v>0</v>
      </c>
      <c r="I470" s="327">
        <f t="shared" si="362"/>
        <v>429.7753</v>
      </c>
      <c r="J470" s="303">
        <f t="shared" si="362"/>
        <v>39.58</v>
      </c>
      <c r="K470" s="304">
        <f t="shared" si="362"/>
        <v>1.7753</v>
      </c>
      <c r="L470" s="305">
        <f t="shared" si="362"/>
        <v>388.42</v>
      </c>
      <c r="M470" s="328" t="s">
        <v>291</v>
      </c>
    </row>
    <row r="471" s="263" customFormat="1" ht="130" customHeight="1" spans="1:13">
      <c r="A471" s="306" t="s">
        <v>298</v>
      </c>
      <c r="B471" s="307" t="s">
        <v>298</v>
      </c>
      <c r="C471" s="308" t="s">
        <v>556</v>
      </c>
      <c r="D471" s="309">
        <f t="shared" si="361"/>
        <v>428</v>
      </c>
      <c r="E471" s="310">
        <f t="shared" ref="E471:E475" si="363">SUBTOTAL(9,F471:H471)</f>
        <v>0</v>
      </c>
      <c r="F471" s="311">
        <v>0</v>
      </c>
      <c r="G471" s="309">
        <v>0</v>
      </c>
      <c r="H471" s="310">
        <v>0</v>
      </c>
      <c r="I471" s="329">
        <f t="shared" ref="I471:I475" si="364">SUBTOTAL(9,J471:L471)</f>
        <v>428</v>
      </c>
      <c r="J471" s="309">
        <v>39.58</v>
      </c>
      <c r="K471" s="310">
        <v>0</v>
      </c>
      <c r="L471" s="311">
        <v>388.42</v>
      </c>
      <c r="M471" s="330" t="s">
        <v>941</v>
      </c>
    </row>
    <row r="472" s="263" customFormat="1" ht="25" customHeight="1" spans="1:13">
      <c r="A472" s="306" t="s">
        <v>298</v>
      </c>
      <c r="B472" s="307" t="s">
        <v>298</v>
      </c>
      <c r="C472" s="308"/>
      <c r="D472" s="309">
        <f t="shared" si="361"/>
        <v>1.7753</v>
      </c>
      <c r="E472" s="310">
        <f t="shared" si="363"/>
        <v>0</v>
      </c>
      <c r="F472" s="311">
        <v>0</v>
      </c>
      <c r="G472" s="309">
        <v>0</v>
      </c>
      <c r="H472" s="310">
        <v>0</v>
      </c>
      <c r="I472" s="329">
        <f t="shared" si="364"/>
        <v>1.7753</v>
      </c>
      <c r="J472" s="309">
        <v>0</v>
      </c>
      <c r="K472" s="310">
        <v>1.7753</v>
      </c>
      <c r="L472" s="311">
        <v>0</v>
      </c>
      <c r="M472" s="330" t="s">
        <v>942</v>
      </c>
    </row>
    <row r="473" s="263" customFormat="1" ht="25" customHeight="1" spans="1:13">
      <c r="A473" s="294" t="s">
        <v>943</v>
      </c>
      <c r="B473" s="295" t="s">
        <v>944</v>
      </c>
      <c r="C473" s="296"/>
      <c r="D473" s="297">
        <f t="shared" ref="D473:L473" si="365">D474+D476+D478+D480+D482</f>
        <v>394.7162</v>
      </c>
      <c r="E473" s="298">
        <f t="shared" si="365"/>
        <v>286.0162</v>
      </c>
      <c r="F473" s="299">
        <f t="shared" si="365"/>
        <v>242.9803</v>
      </c>
      <c r="G473" s="297">
        <f t="shared" si="365"/>
        <v>26.477</v>
      </c>
      <c r="H473" s="298">
        <f t="shared" si="365"/>
        <v>16.5589</v>
      </c>
      <c r="I473" s="325">
        <f t="shared" si="365"/>
        <v>108.7</v>
      </c>
      <c r="J473" s="297">
        <f t="shared" si="365"/>
        <v>108.7</v>
      </c>
      <c r="K473" s="298">
        <f t="shared" si="365"/>
        <v>0</v>
      </c>
      <c r="L473" s="299">
        <f t="shared" si="365"/>
        <v>0</v>
      </c>
      <c r="M473" s="326" t="s">
        <v>291</v>
      </c>
    </row>
    <row r="474" s="263" customFormat="1" ht="25" customHeight="1" spans="1:13">
      <c r="A474" s="300" t="s">
        <v>945</v>
      </c>
      <c r="B474" s="301" t="s">
        <v>946</v>
      </c>
      <c r="C474" s="302"/>
      <c r="D474" s="303">
        <f t="shared" ref="D474:L474" si="366">D475</f>
        <v>111.1686</v>
      </c>
      <c r="E474" s="304">
        <f t="shared" si="366"/>
        <v>110.8686</v>
      </c>
      <c r="F474" s="305">
        <f t="shared" si="366"/>
        <v>94.2856</v>
      </c>
      <c r="G474" s="303">
        <f t="shared" si="366"/>
        <v>14.585</v>
      </c>
      <c r="H474" s="304">
        <f t="shared" si="366"/>
        <v>1.998</v>
      </c>
      <c r="I474" s="327">
        <f t="shared" si="366"/>
        <v>0.3</v>
      </c>
      <c r="J474" s="303">
        <f t="shared" si="366"/>
        <v>0.3</v>
      </c>
      <c r="K474" s="304">
        <f t="shared" si="366"/>
        <v>0</v>
      </c>
      <c r="L474" s="305">
        <f t="shared" si="366"/>
        <v>0</v>
      </c>
      <c r="M474" s="328" t="s">
        <v>291</v>
      </c>
    </row>
    <row r="475" s="263" customFormat="1" ht="25" customHeight="1" spans="1:13">
      <c r="A475" s="306" t="s">
        <v>298</v>
      </c>
      <c r="B475" s="307" t="s">
        <v>298</v>
      </c>
      <c r="C475" s="308" t="s">
        <v>554</v>
      </c>
      <c r="D475" s="309">
        <f t="shared" ref="D475:D479" si="367">E475+I475</f>
        <v>111.1686</v>
      </c>
      <c r="E475" s="310">
        <f t="shared" si="363"/>
        <v>110.8686</v>
      </c>
      <c r="F475" s="311">
        <v>94.2856</v>
      </c>
      <c r="G475" s="309">
        <v>14.585</v>
      </c>
      <c r="H475" s="310">
        <v>1.998</v>
      </c>
      <c r="I475" s="329">
        <f t="shared" si="364"/>
        <v>0.3</v>
      </c>
      <c r="J475" s="309">
        <v>0.3</v>
      </c>
      <c r="K475" s="310">
        <v>0</v>
      </c>
      <c r="L475" s="311">
        <v>0</v>
      </c>
      <c r="M475" s="330" t="s">
        <v>947</v>
      </c>
    </row>
    <row r="476" s="263" customFormat="1" ht="25" customHeight="1" spans="1:13">
      <c r="A476" s="300" t="s">
        <v>948</v>
      </c>
      <c r="B476" s="301" t="s">
        <v>949</v>
      </c>
      <c r="C476" s="302"/>
      <c r="D476" s="303">
        <f t="shared" ref="D476:L476" si="368">D477</f>
        <v>14.5129</v>
      </c>
      <c r="E476" s="304">
        <f t="shared" si="368"/>
        <v>14.5129</v>
      </c>
      <c r="F476" s="305">
        <f t="shared" si="368"/>
        <v>0</v>
      </c>
      <c r="G476" s="303">
        <f t="shared" si="368"/>
        <v>0</v>
      </c>
      <c r="H476" s="304">
        <f t="shared" si="368"/>
        <v>14.5129</v>
      </c>
      <c r="I476" s="327">
        <f t="shared" si="368"/>
        <v>0</v>
      </c>
      <c r="J476" s="303">
        <f t="shared" si="368"/>
        <v>0</v>
      </c>
      <c r="K476" s="304">
        <f t="shared" si="368"/>
        <v>0</v>
      </c>
      <c r="L476" s="305">
        <f t="shared" si="368"/>
        <v>0</v>
      </c>
      <c r="M476" s="328" t="s">
        <v>291</v>
      </c>
    </row>
    <row r="477" s="263" customFormat="1" ht="25" customHeight="1" spans="1:13">
      <c r="A477" s="306" t="s">
        <v>298</v>
      </c>
      <c r="B477" s="307" t="s">
        <v>298</v>
      </c>
      <c r="C477" s="308" t="s">
        <v>554</v>
      </c>
      <c r="D477" s="309">
        <f t="shared" si="367"/>
        <v>14.5129</v>
      </c>
      <c r="E477" s="310">
        <f t="shared" ref="E477:E481" si="369">SUBTOTAL(9,F477:H477)</f>
        <v>14.5129</v>
      </c>
      <c r="F477" s="311">
        <v>0</v>
      </c>
      <c r="G477" s="309">
        <v>0</v>
      </c>
      <c r="H477" s="310">
        <v>14.5129</v>
      </c>
      <c r="I477" s="329">
        <f t="shared" ref="I477:I481" si="370">SUBTOTAL(9,J477:L477)</f>
        <v>0</v>
      </c>
      <c r="J477" s="309">
        <v>0</v>
      </c>
      <c r="K477" s="310">
        <v>0</v>
      </c>
      <c r="L477" s="311">
        <v>0</v>
      </c>
      <c r="M477" s="330" t="s">
        <v>291</v>
      </c>
    </row>
    <row r="478" s="263" customFormat="1" ht="22" customHeight="1" spans="1:13">
      <c r="A478" s="300" t="s">
        <v>950</v>
      </c>
      <c r="B478" s="301" t="s">
        <v>951</v>
      </c>
      <c r="C478" s="302"/>
      <c r="D478" s="303">
        <f t="shared" ref="D478:L478" si="371">D479</f>
        <v>5.6</v>
      </c>
      <c r="E478" s="304">
        <f t="shared" si="371"/>
        <v>0</v>
      </c>
      <c r="F478" s="305">
        <f t="shared" si="371"/>
        <v>0</v>
      </c>
      <c r="G478" s="303">
        <f t="shared" si="371"/>
        <v>0</v>
      </c>
      <c r="H478" s="304">
        <f t="shared" si="371"/>
        <v>0</v>
      </c>
      <c r="I478" s="327">
        <f t="shared" si="371"/>
        <v>5.6</v>
      </c>
      <c r="J478" s="303">
        <f t="shared" si="371"/>
        <v>5.6</v>
      </c>
      <c r="K478" s="304">
        <f t="shared" si="371"/>
        <v>0</v>
      </c>
      <c r="L478" s="305">
        <f t="shared" si="371"/>
        <v>0</v>
      </c>
      <c r="M478" s="328" t="s">
        <v>291</v>
      </c>
    </row>
    <row r="479" s="263" customFormat="1" ht="24" customHeight="1" spans="1:13">
      <c r="A479" s="306" t="s">
        <v>298</v>
      </c>
      <c r="B479" s="307" t="s">
        <v>298</v>
      </c>
      <c r="C479" s="308" t="s">
        <v>554</v>
      </c>
      <c r="D479" s="309">
        <f t="shared" si="367"/>
        <v>5.6</v>
      </c>
      <c r="E479" s="310">
        <f t="shared" si="369"/>
        <v>0</v>
      </c>
      <c r="F479" s="311">
        <v>0</v>
      </c>
      <c r="G479" s="309">
        <v>0</v>
      </c>
      <c r="H479" s="310">
        <v>0</v>
      </c>
      <c r="I479" s="329">
        <f t="shared" si="370"/>
        <v>5.6</v>
      </c>
      <c r="J479" s="309">
        <v>5.6</v>
      </c>
      <c r="K479" s="310">
        <v>0</v>
      </c>
      <c r="L479" s="311">
        <v>0</v>
      </c>
      <c r="M479" s="330" t="s">
        <v>952</v>
      </c>
    </row>
    <row r="480" s="263" customFormat="1" ht="24" customHeight="1" spans="1:13">
      <c r="A480" s="300" t="s">
        <v>953</v>
      </c>
      <c r="B480" s="301" t="s">
        <v>954</v>
      </c>
      <c r="C480" s="302"/>
      <c r="D480" s="303">
        <f t="shared" ref="D480:L480" si="372">D481</f>
        <v>50</v>
      </c>
      <c r="E480" s="304">
        <f t="shared" si="372"/>
        <v>0</v>
      </c>
      <c r="F480" s="305">
        <f t="shared" si="372"/>
        <v>0</v>
      </c>
      <c r="G480" s="303">
        <f t="shared" si="372"/>
        <v>0</v>
      </c>
      <c r="H480" s="304">
        <f t="shared" si="372"/>
        <v>0</v>
      </c>
      <c r="I480" s="327">
        <f t="shared" si="372"/>
        <v>50</v>
      </c>
      <c r="J480" s="303">
        <f t="shared" si="372"/>
        <v>50</v>
      </c>
      <c r="K480" s="304">
        <f t="shared" si="372"/>
        <v>0</v>
      </c>
      <c r="L480" s="305">
        <f t="shared" si="372"/>
        <v>0</v>
      </c>
      <c r="M480" s="328" t="s">
        <v>291</v>
      </c>
    </row>
    <row r="481" s="263" customFormat="1" ht="38" customHeight="1" spans="1:13">
      <c r="A481" s="306" t="s">
        <v>298</v>
      </c>
      <c r="B481" s="307" t="s">
        <v>298</v>
      </c>
      <c r="C481" s="308" t="s">
        <v>554</v>
      </c>
      <c r="D481" s="309">
        <f t="shared" ref="D481:D547" si="373">E481+I481</f>
        <v>50</v>
      </c>
      <c r="E481" s="310">
        <f t="shared" si="369"/>
        <v>0</v>
      </c>
      <c r="F481" s="311">
        <v>0</v>
      </c>
      <c r="G481" s="309">
        <v>0</v>
      </c>
      <c r="H481" s="310">
        <v>0</v>
      </c>
      <c r="I481" s="329">
        <f t="shared" si="370"/>
        <v>50</v>
      </c>
      <c r="J481" s="309">
        <v>50</v>
      </c>
      <c r="K481" s="310">
        <v>0</v>
      </c>
      <c r="L481" s="311">
        <v>0</v>
      </c>
      <c r="M481" s="330" t="s">
        <v>955</v>
      </c>
    </row>
    <row r="482" s="263" customFormat="1" ht="24" customHeight="1" spans="1:13">
      <c r="A482" s="300" t="s">
        <v>956</v>
      </c>
      <c r="B482" s="301" t="s">
        <v>957</v>
      </c>
      <c r="C482" s="302"/>
      <c r="D482" s="303">
        <f t="shared" ref="D482:L482" si="374">D483</f>
        <v>213.4347</v>
      </c>
      <c r="E482" s="304">
        <f t="shared" si="374"/>
        <v>160.6347</v>
      </c>
      <c r="F482" s="305">
        <f t="shared" si="374"/>
        <v>148.6947</v>
      </c>
      <c r="G482" s="303">
        <f t="shared" si="374"/>
        <v>11.892</v>
      </c>
      <c r="H482" s="304">
        <f t="shared" si="374"/>
        <v>0.048</v>
      </c>
      <c r="I482" s="327">
        <f t="shared" si="374"/>
        <v>52.8</v>
      </c>
      <c r="J482" s="303">
        <f t="shared" si="374"/>
        <v>52.8</v>
      </c>
      <c r="K482" s="304">
        <f t="shared" si="374"/>
        <v>0</v>
      </c>
      <c r="L482" s="305">
        <f t="shared" si="374"/>
        <v>0</v>
      </c>
      <c r="M482" s="328" t="s">
        <v>291</v>
      </c>
    </row>
    <row r="483" s="263" customFormat="1" ht="35" customHeight="1" spans="1:13">
      <c r="A483" s="306" t="s">
        <v>298</v>
      </c>
      <c r="B483" s="307" t="s">
        <v>298</v>
      </c>
      <c r="C483" s="308" t="s">
        <v>554</v>
      </c>
      <c r="D483" s="309">
        <f t="shared" si="373"/>
        <v>213.4347</v>
      </c>
      <c r="E483" s="310">
        <f t="shared" ref="E483:E548" si="375">SUBTOTAL(9,F483:H483)</f>
        <v>160.6347</v>
      </c>
      <c r="F483" s="311">
        <v>148.6947</v>
      </c>
      <c r="G483" s="309">
        <v>11.892</v>
      </c>
      <c r="H483" s="310">
        <v>0.048</v>
      </c>
      <c r="I483" s="329">
        <f t="shared" ref="I483:I548" si="376">SUBTOTAL(9,J483:L483)</f>
        <v>52.8</v>
      </c>
      <c r="J483" s="309">
        <v>52.8</v>
      </c>
      <c r="K483" s="310">
        <v>0</v>
      </c>
      <c r="L483" s="311">
        <v>0</v>
      </c>
      <c r="M483" s="330" t="s">
        <v>958</v>
      </c>
    </row>
    <row r="484" s="263" customFormat="1" ht="24" customHeight="1" spans="1:13">
      <c r="A484" s="294" t="s">
        <v>959</v>
      </c>
      <c r="B484" s="295" t="s">
        <v>960</v>
      </c>
      <c r="C484" s="296"/>
      <c r="D484" s="297">
        <f t="shared" ref="D484:L484" si="377">D485+D565+D568</f>
        <v>14161.2471</v>
      </c>
      <c r="E484" s="298">
        <f t="shared" si="377"/>
        <v>12483.9671</v>
      </c>
      <c r="F484" s="299">
        <f t="shared" si="377"/>
        <v>11883.9671</v>
      </c>
      <c r="G484" s="297">
        <f t="shared" si="377"/>
        <v>0</v>
      </c>
      <c r="H484" s="298">
        <f t="shared" si="377"/>
        <v>600</v>
      </c>
      <c r="I484" s="325">
        <f t="shared" si="377"/>
        <v>1677.28</v>
      </c>
      <c r="J484" s="297">
        <f t="shared" si="377"/>
        <v>5.28</v>
      </c>
      <c r="K484" s="298">
        <f t="shared" si="377"/>
        <v>0</v>
      </c>
      <c r="L484" s="299">
        <f t="shared" si="377"/>
        <v>1672</v>
      </c>
      <c r="M484" s="326" t="s">
        <v>291</v>
      </c>
    </row>
    <row r="485" s="263" customFormat="1" ht="25" customHeight="1" spans="1:13">
      <c r="A485" s="300" t="s">
        <v>961</v>
      </c>
      <c r="B485" s="301" t="s">
        <v>962</v>
      </c>
      <c r="C485" s="302"/>
      <c r="D485" s="303">
        <f t="shared" ref="D485:L485" si="378">SUM(D486:D564)</f>
        <v>11883.8445</v>
      </c>
      <c r="E485" s="304">
        <f t="shared" si="378"/>
        <v>11883.8445</v>
      </c>
      <c r="F485" s="305">
        <f t="shared" si="378"/>
        <v>11883.8445</v>
      </c>
      <c r="G485" s="303">
        <f t="shared" si="378"/>
        <v>0</v>
      </c>
      <c r="H485" s="304">
        <f t="shared" si="378"/>
        <v>0</v>
      </c>
      <c r="I485" s="327">
        <f t="shared" si="378"/>
        <v>0</v>
      </c>
      <c r="J485" s="303">
        <f t="shared" si="378"/>
        <v>0</v>
      </c>
      <c r="K485" s="304">
        <f t="shared" si="378"/>
        <v>0</v>
      </c>
      <c r="L485" s="305">
        <f t="shared" si="378"/>
        <v>0</v>
      </c>
      <c r="M485" s="328" t="s">
        <v>291</v>
      </c>
    </row>
    <row r="486" s="263" customFormat="1" ht="1" customHeight="1" spans="1:13">
      <c r="A486" s="306" t="s">
        <v>298</v>
      </c>
      <c r="B486" s="307" t="s">
        <v>298</v>
      </c>
      <c r="C486" s="308" t="s">
        <v>528</v>
      </c>
      <c r="D486" s="309">
        <f t="shared" si="373"/>
        <v>47.0691</v>
      </c>
      <c r="E486" s="310">
        <f t="shared" si="375"/>
        <v>47.0691</v>
      </c>
      <c r="F486" s="311">
        <v>47.0691</v>
      </c>
      <c r="G486" s="309">
        <v>0</v>
      </c>
      <c r="H486" s="310">
        <v>0</v>
      </c>
      <c r="I486" s="329">
        <f t="shared" si="376"/>
        <v>0</v>
      </c>
      <c r="J486" s="309">
        <v>0</v>
      </c>
      <c r="K486" s="310">
        <v>0</v>
      </c>
      <c r="L486" s="311">
        <v>0</v>
      </c>
      <c r="M486" s="330" t="s">
        <v>291</v>
      </c>
    </row>
    <row r="487" s="263" customFormat="1" ht="18.75" customHeight="1" spans="1:13">
      <c r="A487" s="306" t="s">
        <v>298</v>
      </c>
      <c r="B487" s="307" t="s">
        <v>298</v>
      </c>
      <c r="C487" s="308" t="s">
        <v>348</v>
      </c>
      <c r="D487" s="309">
        <f t="shared" si="373"/>
        <v>46.0092</v>
      </c>
      <c r="E487" s="310">
        <f t="shared" si="375"/>
        <v>46.0092</v>
      </c>
      <c r="F487" s="311">
        <v>46.0092</v>
      </c>
      <c r="G487" s="309">
        <v>0</v>
      </c>
      <c r="H487" s="310">
        <v>0</v>
      </c>
      <c r="I487" s="329">
        <f t="shared" si="376"/>
        <v>0</v>
      </c>
      <c r="J487" s="309">
        <v>0</v>
      </c>
      <c r="K487" s="310">
        <v>0</v>
      </c>
      <c r="L487" s="311">
        <v>0</v>
      </c>
      <c r="M487" s="330" t="s">
        <v>291</v>
      </c>
    </row>
    <row r="488" s="263" customFormat="1" ht="18.75" customHeight="1" spans="1:13">
      <c r="A488" s="306" t="s">
        <v>298</v>
      </c>
      <c r="B488" s="307" t="s">
        <v>298</v>
      </c>
      <c r="C488" s="308" t="s">
        <v>299</v>
      </c>
      <c r="D488" s="309">
        <f t="shared" si="373"/>
        <v>47.541</v>
      </c>
      <c r="E488" s="310">
        <f t="shared" si="375"/>
        <v>47.541</v>
      </c>
      <c r="F488" s="311">
        <v>47.541</v>
      </c>
      <c r="G488" s="309">
        <v>0</v>
      </c>
      <c r="H488" s="310">
        <v>0</v>
      </c>
      <c r="I488" s="329">
        <f t="shared" si="376"/>
        <v>0</v>
      </c>
      <c r="J488" s="309">
        <v>0</v>
      </c>
      <c r="K488" s="310">
        <v>0</v>
      </c>
      <c r="L488" s="311">
        <v>0</v>
      </c>
      <c r="M488" s="330" t="s">
        <v>291</v>
      </c>
    </row>
    <row r="489" s="263" customFormat="1" ht="18.75" customHeight="1" spans="1:13">
      <c r="A489" s="306" t="s">
        <v>298</v>
      </c>
      <c r="B489" s="307" t="s">
        <v>298</v>
      </c>
      <c r="C489" s="308" t="s">
        <v>327</v>
      </c>
      <c r="D489" s="309">
        <f t="shared" si="373"/>
        <v>33.6806</v>
      </c>
      <c r="E489" s="310">
        <f t="shared" si="375"/>
        <v>33.6806</v>
      </c>
      <c r="F489" s="311">
        <v>33.6806</v>
      </c>
      <c r="G489" s="309">
        <v>0</v>
      </c>
      <c r="H489" s="310">
        <v>0</v>
      </c>
      <c r="I489" s="329">
        <f t="shared" si="376"/>
        <v>0</v>
      </c>
      <c r="J489" s="309">
        <v>0</v>
      </c>
      <c r="K489" s="310">
        <v>0</v>
      </c>
      <c r="L489" s="311">
        <v>0</v>
      </c>
      <c r="M489" s="330" t="s">
        <v>291</v>
      </c>
    </row>
    <row r="490" s="263" customFormat="1" ht="18.75" customHeight="1" spans="1:13">
      <c r="A490" s="306" t="s">
        <v>298</v>
      </c>
      <c r="B490" s="307" t="s">
        <v>298</v>
      </c>
      <c r="C490" s="308" t="s">
        <v>529</v>
      </c>
      <c r="D490" s="309">
        <f t="shared" si="373"/>
        <v>59.2575</v>
      </c>
      <c r="E490" s="310">
        <f t="shared" si="375"/>
        <v>59.2575</v>
      </c>
      <c r="F490" s="311">
        <v>59.2575</v>
      </c>
      <c r="G490" s="309">
        <v>0</v>
      </c>
      <c r="H490" s="310">
        <v>0</v>
      </c>
      <c r="I490" s="329">
        <f t="shared" si="376"/>
        <v>0</v>
      </c>
      <c r="J490" s="309">
        <v>0</v>
      </c>
      <c r="K490" s="310">
        <v>0</v>
      </c>
      <c r="L490" s="311">
        <v>0</v>
      </c>
      <c r="M490" s="330" t="s">
        <v>291</v>
      </c>
    </row>
    <row r="491" s="263" customFormat="1" ht="18.75" customHeight="1" spans="1:13">
      <c r="A491" s="306" t="s">
        <v>298</v>
      </c>
      <c r="B491" s="307" t="s">
        <v>298</v>
      </c>
      <c r="C491" s="308" t="s">
        <v>452</v>
      </c>
      <c r="D491" s="309">
        <f t="shared" si="373"/>
        <v>119.8086</v>
      </c>
      <c r="E491" s="310">
        <f t="shared" si="375"/>
        <v>119.8086</v>
      </c>
      <c r="F491" s="311">
        <v>119.8086</v>
      </c>
      <c r="G491" s="309">
        <v>0</v>
      </c>
      <c r="H491" s="310">
        <v>0</v>
      </c>
      <c r="I491" s="329">
        <f t="shared" si="376"/>
        <v>0</v>
      </c>
      <c r="J491" s="309">
        <v>0</v>
      </c>
      <c r="K491" s="310">
        <v>0</v>
      </c>
      <c r="L491" s="311">
        <v>0</v>
      </c>
      <c r="M491" s="330" t="s">
        <v>291</v>
      </c>
    </row>
    <row r="492" s="263" customFormat="1" ht="18.75" customHeight="1" spans="1:13">
      <c r="A492" s="306" t="s">
        <v>298</v>
      </c>
      <c r="B492" s="307" t="s">
        <v>298</v>
      </c>
      <c r="C492" s="308" t="s">
        <v>492</v>
      </c>
      <c r="D492" s="309">
        <f t="shared" si="373"/>
        <v>11.7378</v>
      </c>
      <c r="E492" s="310">
        <f t="shared" si="375"/>
        <v>11.7378</v>
      </c>
      <c r="F492" s="311">
        <v>11.7378</v>
      </c>
      <c r="G492" s="309">
        <v>0</v>
      </c>
      <c r="H492" s="310">
        <v>0</v>
      </c>
      <c r="I492" s="329">
        <f t="shared" si="376"/>
        <v>0</v>
      </c>
      <c r="J492" s="309">
        <v>0</v>
      </c>
      <c r="K492" s="310">
        <v>0</v>
      </c>
      <c r="L492" s="311">
        <v>0</v>
      </c>
      <c r="M492" s="330" t="s">
        <v>291</v>
      </c>
    </row>
    <row r="493" s="263" customFormat="1" ht="18.75" customHeight="1" spans="1:13">
      <c r="A493" s="306" t="s">
        <v>298</v>
      </c>
      <c r="B493" s="307" t="s">
        <v>298</v>
      </c>
      <c r="C493" s="308" t="s">
        <v>530</v>
      </c>
      <c r="D493" s="309">
        <f t="shared" si="373"/>
        <v>20.7877</v>
      </c>
      <c r="E493" s="310">
        <f t="shared" si="375"/>
        <v>20.7877</v>
      </c>
      <c r="F493" s="311">
        <v>20.7877</v>
      </c>
      <c r="G493" s="309">
        <v>0</v>
      </c>
      <c r="H493" s="310">
        <v>0</v>
      </c>
      <c r="I493" s="329">
        <f t="shared" si="376"/>
        <v>0</v>
      </c>
      <c r="J493" s="309">
        <v>0</v>
      </c>
      <c r="K493" s="310">
        <v>0</v>
      </c>
      <c r="L493" s="311">
        <v>0</v>
      </c>
      <c r="M493" s="330" t="s">
        <v>291</v>
      </c>
    </row>
    <row r="494" s="263" customFormat="1" ht="18.75" customHeight="1" spans="1:13">
      <c r="A494" s="306" t="s">
        <v>298</v>
      </c>
      <c r="B494" s="307" t="s">
        <v>298</v>
      </c>
      <c r="C494" s="308" t="s">
        <v>531</v>
      </c>
      <c r="D494" s="309">
        <f t="shared" si="373"/>
        <v>440.8855</v>
      </c>
      <c r="E494" s="310">
        <f t="shared" si="375"/>
        <v>440.8855</v>
      </c>
      <c r="F494" s="311">
        <v>440.8855</v>
      </c>
      <c r="G494" s="309">
        <v>0</v>
      </c>
      <c r="H494" s="310">
        <v>0</v>
      </c>
      <c r="I494" s="329">
        <f t="shared" si="376"/>
        <v>0</v>
      </c>
      <c r="J494" s="309">
        <v>0</v>
      </c>
      <c r="K494" s="310">
        <v>0</v>
      </c>
      <c r="L494" s="311">
        <v>0</v>
      </c>
      <c r="M494" s="330" t="s">
        <v>291</v>
      </c>
    </row>
    <row r="495" s="263" customFormat="1" ht="18.75" customHeight="1" spans="1:13">
      <c r="A495" s="306" t="s">
        <v>298</v>
      </c>
      <c r="B495" s="307" t="s">
        <v>298</v>
      </c>
      <c r="C495" s="308" t="s">
        <v>532</v>
      </c>
      <c r="D495" s="309">
        <f t="shared" si="373"/>
        <v>51.3233</v>
      </c>
      <c r="E495" s="310">
        <f t="shared" si="375"/>
        <v>51.3233</v>
      </c>
      <c r="F495" s="311">
        <v>51.3233</v>
      </c>
      <c r="G495" s="309">
        <v>0</v>
      </c>
      <c r="H495" s="310">
        <v>0</v>
      </c>
      <c r="I495" s="329">
        <f t="shared" si="376"/>
        <v>0</v>
      </c>
      <c r="J495" s="309">
        <v>0</v>
      </c>
      <c r="K495" s="310">
        <v>0</v>
      </c>
      <c r="L495" s="311">
        <v>0</v>
      </c>
      <c r="M495" s="330" t="s">
        <v>291</v>
      </c>
    </row>
    <row r="496" s="263" customFormat="1" ht="18.75" customHeight="1" spans="1:13">
      <c r="A496" s="306" t="s">
        <v>298</v>
      </c>
      <c r="B496" s="307" t="s">
        <v>298</v>
      </c>
      <c r="C496" s="308" t="s">
        <v>533</v>
      </c>
      <c r="D496" s="309">
        <f t="shared" si="373"/>
        <v>134.5655</v>
      </c>
      <c r="E496" s="310">
        <f t="shared" si="375"/>
        <v>134.5655</v>
      </c>
      <c r="F496" s="311">
        <v>134.5655</v>
      </c>
      <c r="G496" s="309">
        <v>0</v>
      </c>
      <c r="H496" s="310">
        <v>0</v>
      </c>
      <c r="I496" s="329">
        <f t="shared" si="376"/>
        <v>0</v>
      </c>
      <c r="J496" s="309">
        <v>0</v>
      </c>
      <c r="K496" s="310">
        <v>0</v>
      </c>
      <c r="L496" s="311">
        <v>0</v>
      </c>
      <c r="M496" s="330" t="s">
        <v>291</v>
      </c>
    </row>
    <row r="497" s="263" customFormat="1" ht="18.75" customHeight="1" spans="1:13">
      <c r="A497" s="306" t="s">
        <v>298</v>
      </c>
      <c r="B497" s="307" t="s">
        <v>298</v>
      </c>
      <c r="C497" s="308" t="s">
        <v>534</v>
      </c>
      <c r="D497" s="309">
        <f t="shared" si="373"/>
        <v>80.1708</v>
      </c>
      <c r="E497" s="310">
        <f t="shared" si="375"/>
        <v>80.1708</v>
      </c>
      <c r="F497" s="311">
        <v>80.1708</v>
      </c>
      <c r="G497" s="309">
        <v>0</v>
      </c>
      <c r="H497" s="310">
        <v>0</v>
      </c>
      <c r="I497" s="329">
        <f t="shared" si="376"/>
        <v>0</v>
      </c>
      <c r="J497" s="309">
        <v>0</v>
      </c>
      <c r="K497" s="310">
        <v>0</v>
      </c>
      <c r="L497" s="311">
        <v>0</v>
      </c>
      <c r="M497" s="330" t="s">
        <v>291</v>
      </c>
    </row>
    <row r="498" s="263" customFormat="1" ht="18.75" customHeight="1" spans="1:13">
      <c r="A498" s="306" t="s">
        <v>298</v>
      </c>
      <c r="B498" s="307" t="s">
        <v>298</v>
      </c>
      <c r="C498" s="308" t="s">
        <v>350</v>
      </c>
      <c r="D498" s="309">
        <f t="shared" si="373"/>
        <v>8.467</v>
      </c>
      <c r="E498" s="310">
        <f t="shared" si="375"/>
        <v>8.467</v>
      </c>
      <c r="F498" s="311">
        <v>8.467</v>
      </c>
      <c r="G498" s="309">
        <v>0</v>
      </c>
      <c r="H498" s="310">
        <v>0</v>
      </c>
      <c r="I498" s="329">
        <f t="shared" si="376"/>
        <v>0</v>
      </c>
      <c r="J498" s="309">
        <v>0</v>
      </c>
      <c r="K498" s="310">
        <v>0</v>
      </c>
      <c r="L498" s="311">
        <v>0</v>
      </c>
      <c r="M498" s="330" t="s">
        <v>291</v>
      </c>
    </row>
    <row r="499" s="263" customFormat="1" ht="18.75" customHeight="1" spans="1:13">
      <c r="A499" s="306" t="s">
        <v>298</v>
      </c>
      <c r="B499" s="307" t="s">
        <v>298</v>
      </c>
      <c r="C499" s="308" t="s">
        <v>352</v>
      </c>
      <c r="D499" s="309">
        <f t="shared" si="373"/>
        <v>26.876</v>
      </c>
      <c r="E499" s="310">
        <f t="shared" si="375"/>
        <v>26.876</v>
      </c>
      <c r="F499" s="311">
        <v>26.876</v>
      </c>
      <c r="G499" s="309">
        <v>0</v>
      </c>
      <c r="H499" s="310">
        <v>0</v>
      </c>
      <c r="I499" s="329">
        <f t="shared" si="376"/>
        <v>0</v>
      </c>
      <c r="J499" s="309">
        <v>0</v>
      </c>
      <c r="K499" s="310">
        <v>0</v>
      </c>
      <c r="L499" s="311">
        <v>0</v>
      </c>
      <c r="M499" s="330" t="s">
        <v>291</v>
      </c>
    </row>
    <row r="500" s="263" customFormat="1" ht="18.75" customHeight="1" spans="1:13">
      <c r="A500" s="306" t="s">
        <v>298</v>
      </c>
      <c r="B500" s="307" t="s">
        <v>298</v>
      </c>
      <c r="C500" s="308" t="s">
        <v>517</v>
      </c>
      <c r="D500" s="309">
        <f t="shared" si="373"/>
        <v>4.4863</v>
      </c>
      <c r="E500" s="310">
        <f t="shared" si="375"/>
        <v>4.4863</v>
      </c>
      <c r="F500" s="311">
        <v>4.4863</v>
      </c>
      <c r="G500" s="309">
        <v>0</v>
      </c>
      <c r="H500" s="310">
        <v>0</v>
      </c>
      <c r="I500" s="329">
        <f t="shared" si="376"/>
        <v>0</v>
      </c>
      <c r="J500" s="309">
        <v>0</v>
      </c>
      <c r="K500" s="310">
        <v>0</v>
      </c>
      <c r="L500" s="311">
        <v>0</v>
      </c>
      <c r="M500" s="330" t="s">
        <v>291</v>
      </c>
    </row>
    <row r="501" s="263" customFormat="1" ht="18.75" customHeight="1" spans="1:13">
      <c r="A501" s="306" t="s">
        <v>298</v>
      </c>
      <c r="B501" s="307" t="s">
        <v>298</v>
      </c>
      <c r="C501" s="308" t="s">
        <v>519</v>
      </c>
      <c r="D501" s="309">
        <f t="shared" si="373"/>
        <v>7.8113</v>
      </c>
      <c r="E501" s="310">
        <f t="shared" si="375"/>
        <v>7.8113</v>
      </c>
      <c r="F501" s="311">
        <v>7.8113</v>
      </c>
      <c r="G501" s="309">
        <v>0</v>
      </c>
      <c r="H501" s="310">
        <v>0</v>
      </c>
      <c r="I501" s="329">
        <f t="shared" si="376"/>
        <v>0</v>
      </c>
      <c r="J501" s="309">
        <v>0</v>
      </c>
      <c r="K501" s="310">
        <v>0</v>
      </c>
      <c r="L501" s="311">
        <v>0</v>
      </c>
      <c r="M501" s="330" t="s">
        <v>291</v>
      </c>
    </row>
    <row r="502" s="263" customFormat="1" ht="18.75" customHeight="1" spans="1:13">
      <c r="A502" s="306" t="s">
        <v>298</v>
      </c>
      <c r="B502" s="307" t="s">
        <v>298</v>
      </c>
      <c r="C502" s="308" t="s">
        <v>354</v>
      </c>
      <c r="D502" s="309">
        <f t="shared" si="373"/>
        <v>8.4256</v>
      </c>
      <c r="E502" s="310">
        <f t="shared" si="375"/>
        <v>8.4256</v>
      </c>
      <c r="F502" s="311">
        <v>8.4256</v>
      </c>
      <c r="G502" s="309">
        <v>0</v>
      </c>
      <c r="H502" s="310">
        <v>0</v>
      </c>
      <c r="I502" s="329">
        <f t="shared" si="376"/>
        <v>0</v>
      </c>
      <c r="J502" s="309">
        <v>0</v>
      </c>
      <c r="K502" s="310">
        <v>0</v>
      </c>
      <c r="L502" s="311">
        <v>0</v>
      </c>
      <c r="M502" s="330" t="s">
        <v>291</v>
      </c>
    </row>
    <row r="503" s="263" customFormat="1" ht="18.75" customHeight="1" spans="1:13">
      <c r="A503" s="306" t="s">
        <v>298</v>
      </c>
      <c r="B503" s="307" t="s">
        <v>298</v>
      </c>
      <c r="C503" s="308" t="s">
        <v>356</v>
      </c>
      <c r="D503" s="309">
        <f t="shared" si="373"/>
        <v>8.4383</v>
      </c>
      <c r="E503" s="310">
        <f t="shared" si="375"/>
        <v>8.4383</v>
      </c>
      <c r="F503" s="311">
        <v>8.4383</v>
      </c>
      <c r="G503" s="309">
        <v>0</v>
      </c>
      <c r="H503" s="310">
        <v>0</v>
      </c>
      <c r="I503" s="329">
        <f t="shared" si="376"/>
        <v>0</v>
      </c>
      <c r="J503" s="309">
        <v>0</v>
      </c>
      <c r="K503" s="310">
        <v>0</v>
      </c>
      <c r="L503" s="311">
        <v>0</v>
      </c>
      <c r="M503" s="330" t="s">
        <v>291</v>
      </c>
    </row>
    <row r="504" s="263" customFormat="1" ht="18.75" customHeight="1" spans="1:13">
      <c r="A504" s="306" t="s">
        <v>298</v>
      </c>
      <c r="B504" s="307" t="s">
        <v>298</v>
      </c>
      <c r="C504" s="308" t="s">
        <v>470</v>
      </c>
      <c r="D504" s="309">
        <f t="shared" si="373"/>
        <v>7.8133</v>
      </c>
      <c r="E504" s="310">
        <f t="shared" si="375"/>
        <v>7.8133</v>
      </c>
      <c r="F504" s="311">
        <v>7.8133</v>
      </c>
      <c r="G504" s="309">
        <v>0</v>
      </c>
      <c r="H504" s="310">
        <v>0</v>
      </c>
      <c r="I504" s="329">
        <f t="shared" si="376"/>
        <v>0</v>
      </c>
      <c r="J504" s="309">
        <v>0</v>
      </c>
      <c r="K504" s="310">
        <v>0</v>
      </c>
      <c r="L504" s="311">
        <v>0</v>
      </c>
      <c r="M504" s="330" t="s">
        <v>291</v>
      </c>
    </row>
    <row r="505" s="263" customFormat="1" ht="18.75" customHeight="1" spans="1:13">
      <c r="A505" s="306" t="s">
        <v>298</v>
      </c>
      <c r="B505" s="307" t="s">
        <v>298</v>
      </c>
      <c r="C505" s="308"/>
      <c r="D505" s="309">
        <f t="shared" si="373"/>
        <v>96.9858</v>
      </c>
      <c r="E505" s="310">
        <f t="shared" si="375"/>
        <v>96.9858</v>
      </c>
      <c r="F505" s="311">
        <v>96.9858</v>
      </c>
      <c r="G505" s="309">
        <v>0</v>
      </c>
      <c r="H505" s="310">
        <v>0</v>
      </c>
      <c r="I505" s="329">
        <f t="shared" si="376"/>
        <v>0</v>
      </c>
      <c r="J505" s="309">
        <v>0</v>
      </c>
      <c r="K505" s="310">
        <v>0</v>
      </c>
      <c r="L505" s="311">
        <v>0</v>
      </c>
      <c r="M505" s="330" t="s">
        <v>291</v>
      </c>
    </row>
    <row r="506" s="263" customFormat="1" ht="18.75" customHeight="1" spans="1:13">
      <c r="A506" s="306" t="s">
        <v>298</v>
      </c>
      <c r="B506" s="307" t="s">
        <v>298</v>
      </c>
      <c r="C506" s="308" t="s">
        <v>432</v>
      </c>
      <c r="D506" s="309">
        <f t="shared" si="373"/>
        <v>21.34</v>
      </c>
      <c r="E506" s="310">
        <f t="shared" si="375"/>
        <v>21.34</v>
      </c>
      <c r="F506" s="311">
        <v>21.34</v>
      </c>
      <c r="G506" s="309">
        <v>0</v>
      </c>
      <c r="H506" s="310">
        <v>0</v>
      </c>
      <c r="I506" s="329">
        <f t="shared" si="376"/>
        <v>0</v>
      </c>
      <c r="J506" s="309">
        <v>0</v>
      </c>
      <c r="K506" s="310">
        <v>0</v>
      </c>
      <c r="L506" s="311">
        <v>0</v>
      </c>
      <c r="M506" s="330" t="s">
        <v>291</v>
      </c>
    </row>
    <row r="507" s="263" customFormat="1" ht="18.75" customHeight="1" spans="1:13">
      <c r="A507" s="306" t="s">
        <v>298</v>
      </c>
      <c r="B507" s="307" t="s">
        <v>298</v>
      </c>
      <c r="C507" s="308" t="s">
        <v>374</v>
      </c>
      <c r="D507" s="309">
        <f t="shared" si="373"/>
        <v>16.21</v>
      </c>
      <c r="E507" s="310">
        <f t="shared" si="375"/>
        <v>16.21</v>
      </c>
      <c r="F507" s="311">
        <v>16.21</v>
      </c>
      <c r="G507" s="309">
        <v>0</v>
      </c>
      <c r="H507" s="310">
        <v>0</v>
      </c>
      <c r="I507" s="329">
        <f t="shared" si="376"/>
        <v>0</v>
      </c>
      <c r="J507" s="309">
        <v>0</v>
      </c>
      <c r="K507" s="310">
        <v>0</v>
      </c>
      <c r="L507" s="311">
        <v>0</v>
      </c>
      <c r="M507" s="330" t="s">
        <v>291</v>
      </c>
    </row>
    <row r="508" s="263" customFormat="1" ht="18.75" customHeight="1" spans="1:13">
      <c r="A508" s="306" t="s">
        <v>298</v>
      </c>
      <c r="B508" s="307" t="s">
        <v>298</v>
      </c>
      <c r="C508" s="308" t="s">
        <v>398</v>
      </c>
      <c r="D508" s="309">
        <f t="shared" si="373"/>
        <v>19.4564</v>
      </c>
      <c r="E508" s="310">
        <f t="shared" si="375"/>
        <v>19.4564</v>
      </c>
      <c r="F508" s="311">
        <v>19.4564</v>
      </c>
      <c r="G508" s="309">
        <v>0</v>
      </c>
      <c r="H508" s="310">
        <v>0</v>
      </c>
      <c r="I508" s="329">
        <f t="shared" si="376"/>
        <v>0</v>
      </c>
      <c r="J508" s="309">
        <v>0</v>
      </c>
      <c r="K508" s="310">
        <v>0</v>
      </c>
      <c r="L508" s="311">
        <v>0</v>
      </c>
      <c r="M508" s="330" t="s">
        <v>291</v>
      </c>
    </row>
    <row r="509" s="263" customFormat="1" ht="18.75" customHeight="1" spans="1:13">
      <c r="A509" s="306" t="s">
        <v>298</v>
      </c>
      <c r="B509" s="307" t="s">
        <v>298</v>
      </c>
      <c r="C509" s="308" t="s">
        <v>358</v>
      </c>
      <c r="D509" s="309">
        <f t="shared" si="373"/>
        <v>19.1175</v>
      </c>
      <c r="E509" s="310">
        <f t="shared" si="375"/>
        <v>19.1175</v>
      </c>
      <c r="F509" s="311">
        <v>19.1175</v>
      </c>
      <c r="G509" s="309">
        <v>0</v>
      </c>
      <c r="H509" s="310">
        <v>0</v>
      </c>
      <c r="I509" s="329">
        <f t="shared" si="376"/>
        <v>0</v>
      </c>
      <c r="J509" s="309">
        <v>0</v>
      </c>
      <c r="K509" s="310">
        <v>0</v>
      </c>
      <c r="L509" s="311">
        <v>0</v>
      </c>
      <c r="M509" s="330" t="s">
        <v>291</v>
      </c>
    </row>
    <row r="510" s="263" customFormat="1" ht="18.75" customHeight="1" spans="1:13">
      <c r="A510" s="306" t="s">
        <v>298</v>
      </c>
      <c r="B510" s="307" t="s">
        <v>298</v>
      </c>
      <c r="C510" s="308" t="s">
        <v>509</v>
      </c>
      <c r="D510" s="309">
        <f t="shared" si="373"/>
        <v>4.6331</v>
      </c>
      <c r="E510" s="310">
        <f t="shared" si="375"/>
        <v>4.6331</v>
      </c>
      <c r="F510" s="311">
        <v>4.6331</v>
      </c>
      <c r="G510" s="309">
        <v>0</v>
      </c>
      <c r="H510" s="310">
        <v>0</v>
      </c>
      <c r="I510" s="329">
        <f t="shared" si="376"/>
        <v>0</v>
      </c>
      <c r="J510" s="309">
        <v>0</v>
      </c>
      <c r="K510" s="310">
        <v>0</v>
      </c>
      <c r="L510" s="311">
        <v>0</v>
      </c>
      <c r="M510" s="330" t="s">
        <v>291</v>
      </c>
    </row>
    <row r="511" s="263" customFormat="1" ht="18.75" customHeight="1" spans="1:13">
      <c r="A511" s="306" t="s">
        <v>298</v>
      </c>
      <c r="B511" s="307" t="s">
        <v>298</v>
      </c>
      <c r="C511" s="308" t="s">
        <v>535</v>
      </c>
      <c r="D511" s="309">
        <f t="shared" si="373"/>
        <v>10.6992</v>
      </c>
      <c r="E511" s="310">
        <f t="shared" si="375"/>
        <v>10.6992</v>
      </c>
      <c r="F511" s="311">
        <v>10.6992</v>
      </c>
      <c r="G511" s="309">
        <v>0</v>
      </c>
      <c r="H511" s="310">
        <v>0</v>
      </c>
      <c r="I511" s="329">
        <f t="shared" si="376"/>
        <v>0</v>
      </c>
      <c r="J511" s="309">
        <v>0</v>
      </c>
      <c r="K511" s="310">
        <v>0</v>
      </c>
      <c r="L511" s="311">
        <v>0</v>
      </c>
      <c r="M511" s="330" t="s">
        <v>291</v>
      </c>
    </row>
    <row r="512" s="263" customFormat="1" ht="18.75" customHeight="1" spans="1:13">
      <c r="A512" s="306" t="s">
        <v>298</v>
      </c>
      <c r="B512" s="307" t="s">
        <v>298</v>
      </c>
      <c r="C512" s="308" t="s">
        <v>479</v>
      </c>
      <c r="D512" s="309">
        <f t="shared" si="373"/>
        <v>8.4611</v>
      </c>
      <c r="E512" s="310">
        <f t="shared" si="375"/>
        <v>8.4611</v>
      </c>
      <c r="F512" s="311">
        <v>8.4611</v>
      </c>
      <c r="G512" s="309">
        <v>0</v>
      </c>
      <c r="H512" s="310">
        <v>0</v>
      </c>
      <c r="I512" s="329">
        <f t="shared" si="376"/>
        <v>0</v>
      </c>
      <c r="J512" s="309">
        <v>0</v>
      </c>
      <c r="K512" s="310">
        <v>0</v>
      </c>
      <c r="L512" s="311">
        <v>0</v>
      </c>
      <c r="M512" s="330" t="s">
        <v>291</v>
      </c>
    </row>
    <row r="513" s="263" customFormat="1" ht="18.75" customHeight="1" spans="1:13">
      <c r="A513" s="306" t="s">
        <v>298</v>
      </c>
      <c r="B513" s="307" t="s">
        <v>298</v>
      </c>
      <c r="C513" s="308" t="s">
        <v>359</v>
      </c>
      <c r="D513" s="309">
        <f t="shared" si="373"/>
        <v>11.6704</v>
      </c>
      <c r="E513" s="310">
        <f t="shared" si="375"/>
        <v>11.6704</v>
      </c>
      <c r="F513" s="311">
        <v>11.6704</v>
      </c>
      <c r="G513" s="309">
        <v>0</v>
      </c>
      <c r="H513" s="310">
        <v>0</v>
      </c>
      <c r="I513" s="329">
        <f t="shared" si="376"/>
        <v>0</v>
      </c>
      <c r="J513" s="309">
        <v>0</v>
      </c>
      <c r="K513" s="310">
        <v>0</v>
      </c>
      <c r="L513" s="311">
        <v>0</v>
      </c>
      <c r="M513" s="330" t="s">
        <v>291</v>
      </c>
    </row>
    <row r="514" s="263" customFormat="1" ht="18.75" customHeight="1" spans="1:13">
      <c r="A514" s="306" t="s">
        <v>298</v>
      </c>
      <c r="B514" s="307" t="s">
        <v>298</v>
      </c>
      <c r="C514" s="308" t="s">
        <v>361</v>
      </c>
      <c r="D514" s="309">
        <f t="shared" si="373"/>
        <v>7.2458</v>
      </c>
      <c r="E514" s="310">
        <f t="shared" si="375"/>
        <v>7.2458</v>
      </c>
      <c r="F514" s="311">
        <v>7.2458</v>
      </c>
      <c r="G514" s="309">
        <v>0</v>
      </c>
      <c r="H514" s="310">
        <v>0</v>
      </c>
      <c r="I514" s="329">
        <f t="shared" si="376"/>
        <v>0</v>
      </c>
      <c r="J514" s="309">
        <v>0</v>
      </c>
      <c r="K514" s="310">
        <v>0</v>
      </c>
      <c r="L514" s="311">
        <v>0</v>
      </c>
      <c r="M514" s="330" t="s">
        <v>291</v>
      </c>
    </row>
    <row r="515" s="263" customFormat="1" ht="18.75" customHeight="1" spans="1:13">
      <c r="A515" s="306" t="s">
        <v>298</v>
      </c>
      <c r="B515" s="307" t="s">
        <v>298</v>
      </c>
      <c r="C515" s="308" t="s">
        <v>363</v>
      </c>
      <c r="D515" s="309">
        <f t="shared" si="373"/>
        <v>16.0548</v>
      </c>
      <c r="E515" s="310">
        <f t="shared" si="375"/>
        <v>16.0548</v>
      </c>
      <c r="F515" s="311">
        <v>16.0548</v>
      </c>
      <c r="G515" s="309">
        <v>0</v>
      </c>
      <c r="H515" s="310">
        <v>0</v>
      </c>
      <c r="I515" s="329">
        <f t="shared" si="376"/>
        <v>0</v>
      </c>
      <c r="J515" s="309">
        <v>0</v>
      </c>
      <c r="K515" s="310">
        <v>0</v>
      </c>
      <c r="L515" s="311">
        <v>0</v>
      </c>
      <c r="M515" s="330" t="s">
        <v>291</v>
      </c>
    </row>
    <row r="516" s="263" customFormat="1" ht="18.75" customHeight="1" spans="1:13">
      <c r="A516" s="306" t="s">
        <v>298</v>
      </c>
      <c r="B516" s="307" t="s">
        <v>298</v>
      </c>
      <c r="C516" s="308" t="s">
        <v>536</v>
      </c>
      <c r="D516" s="309">
        <f t="shared" si="373"/>
        <v>182.2131</v>
      </c>
      <c r="E516" s="310">
        <f t="shared" si="375"/>
        <v>182.2131</v>
      </c>
      <c r="F516" s="311">
        <v>182.2131</v>
      </c>
      <c r="G516" s="309">
        <v>0</v>
      </c>
      <c r="H516" s="310">
        <v>0</v>
      </c>
      <c r="I516" s="329">
        <f t="shared" si="376"/>
        <v>0</v>
      </c>
      <c r="J516" s="309">
        <v>0</v>
      </c>
      <c r="K516" s="310">
        <v>0</v>
      </c>
      <c r="L516" s="311">
        <v>0</v>
      </c>
      <c r="M516" s="330" t="s">
        <v>291</v>
      </c>
    </row>
    <row r="517" s="263" customFormat="1" ht="18.75" customHeight="1" spans="1:13">
      <c r="A517" s="306" t="s">
        <v>298</v>
      </c>
      <c r="B517" s="307" t="s">
        <v>298</v>
      </c>
      <c r="C517" s="308" t="s">
        <v>537</v>
      </c>
      <c r="D517" s="309">
        <f t="shared" si="373"/>
        <v>41.1499</v>
      </c>
      <c r="E517" s="310">
        <f t="shared" si="375"/>
        <v>41.1499</v>
      </c>
      <c r="F517" s="311">
        <v>41.1499</v>
      </c>
      <c r="G517" s="309">
        <v>0</v>
      </c>
      <c r="H517" s="310">
        <v>0</v>
      </c>
      <c r="I517" s="329">
        <f t="shared" si="376"/>
        <v>0</v>
      </c>
      <c r="J517" s="309">
        <v>0</v>
      </c>
      <c r="K517" s="310">
        <v>0</v>
      </c>
      <c r="L517" s="311">
        <v>0</v>
      </c>
      <c r="M517" s="330" t="s">
        <v>291</v>
      </c>
    </row>
    <row r="518" s="263" customFormat="1" ht="1" customHeight="1" spans="1:13">
      <c r="A518" s="306" t="s">
        <v>298</v>
      </c>
      <c r="B518" s="307" t="s">
        <v>298</v>
      </c>
      <c r="C518" s="308" t="s">
        <v>364</v>
      </c>
      <c r="D518" s="309">
        <f t="shared" si="373"/>
        <v>9.4047</v>
      </c>
      <c r="E518" s="310">
        <f t="shared" si="375"/>
        <v>9.4047</v>
      </c>
      <c r="F518" s="311">
        <v>9.4047</v>
      </c>
      <c r="G518" s="309">
        <v>0</v>
      </c>
      <c r="H518" s="310">
        <v>0</v>
      </c>
      <c r="I518" s="329">
        <f t="shared" si="376"/>
        <v>0</v>
      </c>
      <c r="J518" s="309">
        <v>0</v>
      </c>
      <c r="K518" s="310">
        <v>0</v>
      </c>
      <c r="L518" s="311">
        <v>0</v>
      </c>
      <c r="M518" s="330" t="s">
        <v>291</v>
      </c>
    </row>
    <row r="519" s="263" customFormat="1" ht="18.75" customHeight="1" spans="1:13">
      <c r="A519" s="306" t="s">
        <v>298</v>
      </c>
      <c r="B519" s="307" t="s">
        <v>298</v>
      </c>
      <c r="C519" s="308" t="s">
        <v>538</v>
      </c>
      <c r="D519" s="309">
        <f t="shared" si="373"/>
        <v>4.2263</v>
      </c>
      <c r="E519" s="310">
        <f t="shared" si="375"/>
        <v>4.2263</v>
      </c>
      <c r="F519" s="311">
        <v>4.2263</v>
      </c>
      <c r="G519" s="309">
        <v>0</v>
      </c>
      <c r="H519" s="310">
        <v>0</v>
      </c>
      <c r="I519" s="329">
        <f t="shared" si="376"/>
        <v>0</v>
      </c>
      <c r="J519" s="309">
        <v>0</v>
      </c>
      <c r="K519" s="310">
        <v>0</v>
      </c>
      <c r="L519" s="311">
        <v>0</v>
      </c>
      <c r="M519" s="330" t="s">
        <v>291</v>
      </c>
    </row>
    <row r="520" s="263" customFormat="1" ht="18.75" customHeight="1" spans="1:13">
      <c r="A520" s="306" t="s">
        <v>298</v>
      </c>
      <c r="B520" s="307" t="s">
        <v>298</v>
      </c>
      <c r="C520" s="308" t="s">
        <v>539</v>
      </c>
      <c r="D520" s="309">
        <f t="shared" si="373"/>
        <v>5162.3657</v>
      </c>
      <c r="E520" s="310">
        <f t="shared" si="375"/>
        <v>5162.3657</v>
      </c>
      <c r="F520" s="311">
        <v>5162.3657</v>
      </c>
      <c r="G520" s="309">
        <v>0</v>
      </c>
      <c r="H520" s="310">
        <v>0</v>
      </c>
      <c r="I520" s="329">
        <f t="shared" si="376"/>
        <v>0</v>
      </c>
      <c r="J520" s="309">
        <v>0</v>
      </c>
      <c r="K520" s="310">
        <v>0</v>
      </c>
      <c r="L520" s="311">
        <v>0</v>
      </c>
      <c r="M520" s="330" t="s">
        <v>291</v>
      </c>
    </row>
    <row r="521" s="263" customFormat="1" ht="18.75" customHeight="1" spans="1:13">
      <c r="A521" s="306" t="s">
        <v>298</v>
      </c>
      <c r="B521" s="307" t="s">
        <v>298</v>
      </c>
      <c r="C521" s="308" t="s">
        <v>540</v>
      </c>
      <c r="D521" s="309">
        <f t="shared" si="373"/>
        <v>93.9447</v>
      </c>
      <c r="E521" s="310">
        <f t="shared" si="375"/>
        <v>93.9447</v>
      </c>
      <c r="F521" s="311">
        <v>93.9447</v>
      </c>
      <c r="G521" s="309">
        <v>0</v>
      </c>
      <c r="H521" s="310">
        <v>0</v>
      </c>
      <c r="I521" s="329">
        <f t="shared" si="376"/>
        <v>0</v>
      </c>
      <c r="J521" s="309">
        <v>0</v>
      </c>
      <c r="K521" s="310">
        <v>0</v>
      </c>
      <c r="L521" s="311">
        <v>0</v>
      </c>
      <c r="M521" s="330" t="s">
        <v>291</v>
      </c>
    </row>
    <row r="522" s="263" customFormat="1" ht="18.75" customHeight="1" spans="1:13">
      <c r="A522" s="306" t="s">
        <v>298</v>
      </c>
      <c r="B522" s="307" t="s">
        <v>298</v>
      </c>
      <c r="C522" s="308" t="s">
        <v>541</v>
      </c>
      <c r="D522" s="309">
        <f t="shared" si="373"/>
        <v>10.5057</v>
      </c>
      <c r="E522" s="310">
        <f t="shared" si="375"/>
        <v>10.5057</v>
      </c>
      <c r="F522" s="311">
        <v>10.5057</v>
      </c>
      <c r="G522" s="309">
        <v>0</v>
      </c>
      <c r="H522" s="310">
        <v>0</v>
      </c>
      <c r="I522" s="329">
        <f t="shared" si="376"/>
        <v>0</v>
      </c>
      <c r="J522" s="309">
        <v>0</v>
      </c>
      <c r="K522" s="310">
        <v>0</v>
      </c>
      <c r="L522" s="311">
        <v>0</v>
      </c>
      <c r="M522" s="330" t="s">
        <v>291</v>
      </c>
    </row>
    <row r="523" s="263" customFormat="1" ht="18.75" customHeight="1" spans="1:13">
      <c r="A523" s="306" t="s">
        <v>298</v>
      </c>
      <c r="B523" s="307" t="s">
        <v>298</v>
      </c>
      <c r="C523" s="308" t="s">
        <v>542</v>
      </c>
      <c r="D523" s="309">
        <f t="shared" si="373"/>
        <v>29.29</v>
      </c>
      <c r="E523" s="310">
        <f t="shared" si="375"/>
        <v>29.29</v>
      </c>
      <c r="F523" s="311">
        <v>29.29</v>
      </c>
      <c r="G523" s="309">
        <v>0</v>
      </c>
      <c r="H523" s="310">
        <v>0</v>
      </c>
      <c r="I523" s="329">
        <f t="shared" si="376"/>
        <v>0</v>
      </c>
      <c r="J523" s="309">
        <v>0</v>
      </c>
      <c r="K523" s="310">
        <v>0</v>
      </c>
      <c r="L523" s="311">
        <v>0</v>
      </c>
      <c r="M523" s="330" t="s">
        <v>291</v>
      </c>
    </row>
    <row r="524" s="263" customFormat="1" ht="18.75" customHeight="1" spans="1:13">
      <c r="A524" s="306" t="s">
        <v>298</v>
      </c>
      <c r="B524" s="307" t="s">
        <v>298</v>
      </c>
      <c r="C524" s="308" t="s">
        <v>543</v>
      </c>
      <c r="D524" s="309">
        <f t="shared" si="373"/>
        <v>18.3986</v>
      </c>
      <c r="E524" s="310">
        <f t="shared" si="375"/>
        <v>18.3986</v>
      </c>
      <c r="F524" s="311">
        <v>18.3986</v>
      </c>
      <c r="G524" s="309">
        <v>0</v>
      </c>
      <c r="H524" s="310">
        <v>0</v>
      </c>
      <c r="I524" s="329">
        <f t="shared" si="376"/>
        <v>0</v>
      </c>
      <c r="J524" s="309">
        <v>0</v>
      </c>
      <c r="K524" s="310">
        <v>0</v>
      </c>
      <c r="L524" s="311">
        <v>0</v>
      </c>
      <c r="M524" s="330" t="s">
        <v>291</v>
      </c>
    </row>
    <row r="525" s="263" customFormat="1" ht="18.75" customHeight="1" spans="1:13">
      <c r="A525" s="306" t="s">
        <v>298</v>
      </c>
      <c r="B525" s="307" t="s">
        <v>298</v>
      </c>
      <c r="C525" s="308" t="s">
        <v>501</v>
      </c>
      <c r="D525" s="309">
        <f t="shared" si="373"/>
        <v>8.8158</v>
      </c>
      <c r="E525" s="310">
        <f t="shared" si="375"/>
        <v>8.8158</v>
      </c>
      <c r="F525" s="311">
        <v>8.8158</v>
      </c>
      <c r="G525" s="309">
        <v>0</v>
      </c>
      <c r="H525" s="310">
        <v>0</v>
      </c>
      <c r="I525" s="329">
        <f t="shared" si="376"/>
        <v>0</v>
      </c>
      <c r="J525" s="309">
        <v>0</v>
      </c>
      <c r="K525" s="310">
        <v>0</v>
      </c>
      <c r="L525" s="311">
        <v>0</v>
      </c>
      <c r="M525" s="330" t="s">
        <v>291</v>
      </c>
    </row>
    <row r="526" s="263" customFormat="1" ht="18.75" customHeight="1" spans="1:13">
      <c r="A526" s="306" t="s">
        <v>298</v>
      </c>
      <c r="B526" s="307" t="s">
        <v>298</v>
      </c>
      <c r="C526" s="308" t="s">
        <v>483</v>
      </c>
      <c r="D526" s="309">
        <f t="shared" si="373"/>
        <v>5.1762</v>
      </c>
      <c r="E526" s="310">
        <f t="shared" si="375"/>
        <v>5.1762</v>
      </c>
      <c r="F526" s="311">
        <v>5.1762</v>
      </c>
      <c r="G526" s="309">
        <v>0</v>
      </c>
      <c r="H526" s="310">
        <v>0</v>
      </c>
      <c r="I526" s="329">
        <f t="shared" si="376"/>
        <v>0</v>
      </c>
      <c r="J526" s="309">
        <v>0</v>
      </c>
      <c r="K526" s="310">
        <v>0</v>
      </c>
      <c r="L526" s="311">
        <v>0</v>
      </c>
      <c r="M526" s="330" t="s">
        <v>291</v>
      </c>
    </row>
    <row r="527" s="263" customFormat="1" ht="18.75" customHeight="1" spans="1:13">
      <c r="A527" s="306" t="s">
        <v>298</v>
      </c>
      <c r="B527" s="307" t="s">
        <v>298</v>
      </c>
      <c r="C527" s="308" t="s">
        <v>544</v>
      </c>
      <c r="D527" s="309">
        <f t="shared" si="373"/>
        <v>6.1608</v>
      </c>
      <c r="E527" s="310">
        <f t="shared" si="375"/>
        <v>6.1608</v>
      </c>
      <c r="F527" s="311">
        <v>6.1608</v>
      </c>
      <c r="G527" s="309">
        <v>0</v>
      </c>
      <c r="H527" s="310">
        <v>0</v>
      </c>
      <c r="I527" s="329">
        <f t="shared" si="376"/>
        <v>0</v>
      </c>
      <c r="J527" s="309">
        <v>0</v>
      </c>
      <c r="K527" s="310">
        <v>0</v>
      </c>
      <c r="L527" s="311">
        <v>0</v>
      </c>
      <c r="M527" s="330" t="s">
        <v>291</v>
      </c>
    </row>
    <row r="528" s="263" customFormat="1" ht="18.75" customHeight="1" spans="1:13">
      <c r="A528" s="306" t="s">
        <v>298</v>
      </c>
      <c r="B528" s="307" t="s">
        <v>298</v>
      </c>
      <c r="C528" s="308" t="s">
        <v>521</v>
      </c>
      <c r="D528" s="309">
        <f t="shared" si="373"/>
        <v>5.1477</v>
      </c>
      <c r="E528" s="310">
        <f t="shared" si="375"/>
        <v>5.1477</v>
      </c>
      <c r="F528" s="311">
        <v>5.1477</v>
      </c>
      <c r="G528" s="309">
        <v>0</v>
      </c>
      <c r="H528" s="310">
        <v>0</v>
      </c>
      <c r="I528" s="329">
        <f t="shared" si="376"/>
        <v>0</v>
      </c>
      <c r="J528" s="309">
        <v>0</v>
      </c>
      <c r="K528" s="310">
        <v>0</v>
      </c>
      <c r="L528" s="311">
        <v>0</v>
      </c>
      <c r="M528" s="330" t="s">
        <v>291</v>
      </c>
    </row>
    <row r="529" s="263" customFormat="1" ht="18.75" customHeight="1" spans="1:13">
      <c r="A529" s="306" t="s">
        <v>298</v>
      </c>
      <c r="B529" s="307" t="s">
        <v>298</v>
      </c>
      <c r="C529" s="308" t="s">
        <v>523</v>
      </c>
      <c r="D529" s="309">
        <f t="shared" si="373"/>
        <v>7.249</v>
      </c>
      <c r="E529" s="310">
        <f t="shared" si="375"/>
        <v>7.249</v>
      </c>
      <c r="F529" s="311">
        <v>7.249</v>
      </c>
      <c r="G529" s="309">
        <v>0</v>
      </c>
      <c r="H529" s="310">
        <v>0</v>
      </c>
      <c r="I529" s="329">
        <f t="shared" si="376"/>
        <v>0</v>
      </c>
      <c r="J529" s="309">
        <v>0</v>
      </c>
      <c r="K529" s="310">
        <v>0</v>
      </c>
      <c r="L529" s="311">
        <v>0</v>
      </c>
      <c r="M529" s="330" t="s">
        <v>291</v>
      </c>
    </row>
    <row r="530" s="263" customFormat="1" ht="18.75" customHeight="1" spans="1:13">
      <c r="A530" s="306" t="s">
        <v>298</v>
      </c>
      <c r="B530" s="307" t="s">
        <v>298</v>
      </c>
      <c r="C530" s="308" t="s">
        <v>545</v>
      </c>
      <c r="D530" s="309">
        <f t="shared" si="373"/>
        <v>24.0232</v>
      </c>
      <c r="E530" s="310">
        <f t="shared" si="375"/>
        <v>24.0232</v>
      </c>
      <c r="F530" s="311">
        <v>24.0232</v>
      </c>
      <c r="G530" s="309">
        <v>0</v>
      </c>
      <c r="H530" s="310">
        <v>0</v>
      </c>
      <c r="I530" s="329">
        <f t="shared" si="376"/>
        <v>0</v>
      </c>
      <c r="J530" s="309">
        <v>0</v>
      </c>
      <c r="K530" s="310">
        <v>0</v>
      </c>
      <c r="L530" s="311">
        <v>0</v>
      </c>
      <c r="M530" s="330" t="s">
        <v>291</v>
      </c>
    </row>
    <row r="531" s="263" customFormat="1" ht="18.75" customHeight="1" spans="1:13">
      <c r="A531" s="306" t="s">
        <v>298</v>
      </c>
      <c r="B531" s="307" t="s">
        <v>298</v>
      </c>
      <c r="C531" s="308" t="s">
        <v>387</v>
      </c>
      <c r="D531" s="309">
        <f t="shared" si="373"/>
        <v>67.7583</v>
      </c>
      <c r="E531" s="310">
        <f t="shared" si="375"/>
        <v>67.7583</v>
      </c>
      <c r="F531" s="311">
        <v>67.7583</v>
      </c>
      <c r="G531" s="309">
        <v>0</v>
      </c>
      <c r="H531" s="310">
        <v>0</v>
      </c>
      <c r="I531" s="329">
        <f t="shared" si="376"/>
        <v>0</v>
      </c>
      <c r="J531" s="309">
        <v>0</v>
      </c>
      <c r="K531" s="310">
        <v>0</v>
      </c>
      <c r="L531" s="311">
        <v>0</v>
      </c>
      <c r="M531" s="330" t="s">
        <v>291</v>
      </c>
    </row>
    <row r="532" s="263" customFormat="1" ht="18.75" customHeight="1" spans="1:13">
      <c r="A532" s="306" t="s">
        <v>298</v>
      </c>
      <c r="B532" s="307" t="s">
        <v>298</v>
      </c>
      <c r="C532" s="308" t="s">
        <v>546</v>
      </c>
      <c r="D532" s="309">
        <f t="shared" si="373"/>
        <v>38.8293</v>
      </c>
      <c r="E532" s="310">
        <f t="shared" si="375"/>
        <v>38.8293</v>
      </c>
      <c r="F532" s="311">
        <v>38.8293</v>
      </c>
      <c r="G532" s="309">
        <v>0</v>
      </c>
      <c r="H532" s="310">
        <v>0</v>
      </c>
      <c r="I532" s="329">
        <f t="shared" si="376"/>
        <v>0</v>
      </c>
      <c r="J532" s="309">
        <v>0</v>
      </c>
      <c r="K532" s="310">
        <v>0</v>
      </c>
      <c r="L532" s="311">
        <v>0</v>
      </c>
      <c r="M532" s="330" t="s">
        <v>291</v>
      </c>
    </row>
    <row r="533" s="263" customFormat="1" ht="18.75" customHeight="1" spans="1:13">
      <c r="A533" s="306" t="s">
        <v>298</v>
      </c>
      <c r="B533" s="307" t="s">
        <v>298</v>
      </c>
      <c r="C533" s="308" t="s">
        <v>547</v>
      </c>
      <c r="D533" s="309">
        <f t="shared" si="373"/>
        <v>9.5445</v>
      </c>
      <c r="E533" s="310">
        <f t="shared" si="375"/>
        <v>9.5445</v>
      </c>
      <c r="F533" s="311">
        <v>9.5445</v>
      </c>
      <c r="G533" s="309">
        <v>0</v>
      </c>
      <c r="H533" s="310">
        <v>0</v>
      </c>
      <c r="I533" s="329">
        <f t="shared" si="376"/>
        <v>0</v>
      </c>
      <c r="J533" s="309">
        <v>0</v>
      </c>
      <c r="K533" s="310">
        <v>0</v>
      </c>
      <c r="L533" s="311">
        <v>0</v>
      </c>
      <c r="M533" s="330" t="s">
        <v>291</v>
      </c>
    </row>
    <row r="534" s="263" customFormat="1" ht="18.75" customHeight="1" spans="1:13">
      <c r="A534" s="306" t="s">
        <v>298</v>
      </c>
      <c r="B534" s="307" t="s">
        <v>298</v>
      </c>
      <c r="C534" s="308" t="s">
        <v>548</v>
      </c>
      <c r="D534" s="309">
        <f t="shared" si="373"/>
        <v>48.7225</v>
      </c>
      <c r="E534" s="310">
        <f t="shared" si="375"/>
        <v>48.7225</v>
      </c>
      <c r="F534" s="311">
        <v>48.7225</v>
      </c>
      <c r="G534" s="309">
        <v>0</v>
      </c>
      <c r="H534" s="310">
        <v>0</v>
      </c>
      <c r="I534" s="329">
        <f t="shared" si="376"/>
        <v>0</v>
      </c>
      <c r="J534" s="309">
        <v>0</v>
      </c>
      <c r="K534" s="310">
        <v>0</v>
      </c>
      <c r="L534" s="311">
        <v>0</v>
      </c>
      <c r="M534" s="330" t="s">
        <v>291</v>
      </c>
    </row>
    <row r="535" s="263" customFormat="1" ht="18.75" customHeight="1" spans="1:13">
      <c r="A535" s="306" t="s">
        <v>298</v>
      </c>
      <c r="B535" s="307" t="s">
        <v>298</v>
      </c>
      <c r="C535" s="308" t="s">
        <v>549</v>
      </c>
      <c r="D535" s="309">
        <f t="shared" si="373"/>
        <v>52.9374</v>
      </c>
      <c r="E535" s="310">
        <f t="shared" si="375"/>
        <v>52.9374</v>
      </c>
      <c r="F535" s="311">
        <v>52.9374</v>
      </c>
      <c r="G535" s="309">
        <v>0</v>
      </c>
      <c r="H535" s="310">
        <v>0</v>
      </c>
      <c r="I535" s="329">
        <f t="shared" si="376"/>
        <v>0</v>
      </c>
      <c r="J535" s="309">
        <v>0</v>
      </c>
      <c r="K535" s="310">
        <v>0</v>
      </c>
      <c r="L535" s="311">
        <v>0</v>
      </c>
      <c r="M535" s="330" t="s">
        <v>291</v>
      </c>
    </row>
    <row r="536" s="263" customFormat="1" ht="18.75" customHeight="1" spans="1:13">
      <c r="A536" s="306" t="s">
        <v>298</v>
      </c>
      <c r="B536" s="307" t="s">
        <v>298</v>
      </c>
      <c r="C536" s="308" t="s">
        <v>550</v>
      </c>
      <c r="D536" s="309">
        <f t="shared" si="373"/>
        <v>93.7392</v>
      </c>
      <c r="E536" s="310">
        <f t="shared" si="375"/>
        <v>93.7392</v>
      </c>
      <c r="F536" s="311">
        <v>93.7392</v>
      </c>
      <c r="G536" s="309">
        <v>0</v>
      </c>
      <c r="H536" s="310">
        <v>0</v>
      </c>
      <c r="I536" s="329">
        <f t="shared" si="376"/>
        <v>0</v>
      </c>
      <c r="J536" s="309">
        <v>0</v>
      </c>
      <c r="K536" s="310">
        <v>0</v>
      </c>
      <c r="L536" s="311">
        <v>0</v>
      </c>
      <c r="M536" s="330" t="s">
        <v>291</v>
      </c>
    </row>
    <row r="537" s="263" customFormat="1" ht="18.75" customHeight="1" spans="1:13">
      <c r="A537" s="306" t="s">
        <v>298</v>
      </c>
      <c r="B537" s="307" t="s">
        <v>298</v>
      </c>
      <c r="C537" s="308" t="s">
        <v>551</v>
      </c>
      <c r="D537" s="309">
        <f t="shared" si="373"/>
        <v>7.2986</v>
      </c>
      <c r="E537" s="310">
        <f t="shared" si="375"/>
        <v>7.2986</v>
      </c>
      <c r="F537" s="311">
        <v>7.2986</v>
      </c>
      <c r="G537" s="309">
        <v>0</v>
      </c>
      <c r="H537" s="310">
        <v>0</v>
      </c>
      <c r="I537" s="329">
        <f t="shared" si="376"/>
        <v>0</v>
      </c>
      <c r="J537" s="309">
        <v>0</v>
      </c>
      <c r="K537" s="310">
        <v>0</v>
      </c>
      <c r="L537" s="311">
        <v>0</v>
      </c>
      <c r="M537" s="330" t="s">
        <v>291</v>
      </c>
    </row>
    <row r="538" s="263" customFormat="1" ht="18.75" customHeight="1" spans="1:13">
      <c r="A538" s="306" t="s">
        <v>298</v>
      </c>
      <c r="B538" s="307" t="s">
        <v>298</v>
      </c>
      <c r="C538" s="308" t="s">
        <v>552</v>
      </c>
      <c r="D538" s="309">
        <f t="shared" si="373"/>
        <v>52.7047</v>
      </c>
      <c r="E538" s="310">
        <f t="shared" si="375"/>
        <v>52.7047</v>
      </c>
      <c r="F538" s="311">
        <v>52.7047</v>
      </c>
      <c r="G538" s="309">
        <v>0</v>
      </c>
      <c r="H538" s="310">
        <v>0</v>
      </c>
      <c r="I538" s="329">
        <f t="shared" si="376"/>
        <v>0</v>
      </c>
      <c r="J538" s="309">
        <v>0</v>
      </c>
      <c r="K538" s="310">
        <v>0</v>
      </c>
      <c r="L538" s="311">
        <v>0</v>
      </c>
      <c r="M538" s="330" t="s">
        <v>291</v>
      </c>
    </row>
    <row r="539" s="263" customFormat="1" ht="18.75" customHeight="1" spans="1:13">
      <c r="A539" s="306" t="s">
        <v>298</v>
      </c>
      <c r="B539" s="307" t="s">
        <v>298</v>
      </c>
      <c r="C539" s="308" t="s">
        <v>553</v>
      </c>
      <c r="D539" s="309">
        <f t="shared" si="373"/>
        <v>43.9938</v>
      </c>
      <c r="E539" s="310">
        <f t="shared" si="375"/>
        <v>43.9938</v>
      </c>
      <c r="F539" s="311">
        <v>43.9938</v>
      </c>
      <c r="G539" s="309">
        <v>0</v>
      </c>
      <c r="H539" s="310">
        <v>0</v>
      </c>
      <c r="I539" s="329">
        <f t="shared" si="376"/>
        <v>0</v>
      </c>
      <c r="J539" s="309">
        <v>0</v>
      </c>
      <c r="K539" s="310">
        <v>0</v>
      </c>
      <c r="L539" s="311">
        <v>0</v>
      </c>
      <c r="M539" s="330" t="s">
        <v>291</v>
      </c>
    </row>
    <row r="540" s="263" customFormat="1" ht="18.75" customHeight="1" spans="1:13">
      <c r="A540" s="306" t="s">
        <v>298</v>
      </c>
      <c r="B540" s="307" t="s">
        <v>298</v>
      </c>
      <c r="C540" s="308" t="s">
        <v>554</v>
      </c>
      <c r="D540" s="309">
        <f t="shared" si="373"/>
        <v>44.0175</v>
      </c>
      <c r="E540" s="310">
        <f t="shared" si="375"/>
        <v>44.0175</v>
      </c>
      <c r="F540" s="311">
        <v>44.0175</v>
      </c>
      <c r="G540" s="309">
        <v>0</v>
      </c>
      <c r="H540" s="310">
        <v>0</v>
      </c>
      <c r="I540" s="329">
        <f t="shared" si="376"/>
        <v>0</v>
      </c>
      <c r="J540" s="309">
        <v>0</v>
      </c>
      <c r="K540" s="310">
        <v>0</v>
      </c>
      <c r="L540" s="311">
        <v>0</v>
      </c>
      <c r="M540" s="330" t="s">
        <v>291</v>
      </c>
    </row>
    <row r="541" s="263" customFormat="1" ht="18.75" customHeight="1" spans="1:13">
      <c r="A541" s="306" t="s">
        <v>298</v>
      </c>
      <c r="B541" s="307" t="s">
        <v>298</v>
      </c>
      <c r="C541" s="308" t="s">
        <v>555</v>
      </c>
      <c r="D541" s="309">
        <f t="shared" si="373"/>
        <v>828.6769</v>
      </c>
      <c r="E541" s="310">
        <f t="shared" si="375"/>
        <v>828.6769</v>
      </c>
      <c r="F541" s="311">
        <v>828.6769</v>
      </c>
      <c r="G541" s="309">
        <v>0</v>
      </c>
      <c r="H541" s="310">
        <v>0</v>
      </c>
      <c r="I541" s="329">
        <f t="shared" si="376"/>
        <v>0</v>
      </c>
      <c r="J541" s="309">
        <v>0</v>
      </c>
      <c r="K541" s="310">
        <v>0</v>
      </c>
      <c r="L541" s="311">
        <v>0</v>
      </c>
      <c r="M541" s="330" t="s">
        <v>291</v>
      </c>
    </row>
    <row r="542" s="263" customFormat="1" ht="18.75" customHeight="1" spans="1:13">
      <c r="A542" s="306" t="s">
        <v>298</v>
      </c>
      <c r="B542" s="307" t="s">
        <v>298</v>
      </c>
      <c r="C542" s="308" t="s">
        <v>556</v>
      </c>
      <c r="D542" s="309">
        <f t="shared" si="373"/>
        <v>89.6214</v>
      </c>
      <c r="E542" s="310">
        <f t="shared" si="375"/>
        <v>89.6214</v>
      </c>
      <c r="F542" s="311">
        <v>89.6214</v>
      </c>
      <c r="G542" s="309">
        <v>0</v>
      </c>
      <c r="H542" s="310">
        <v>0</v>
      </c>
      <c r="I542" s="329">
        <f t="shared" si="376"/>
        <v>0</v>
      </c>
      <c r="J542" s="309">
        <v>0</v>
      </c>
      <c r="K542" s="310">
        <v>0</v>
      </c>
      <c r="L542" s="311">
        <v>0</v>
      </c>
      <c r="M542" s="330" t="s">
        <v>291</v>
      </c>
    </row>
    <row r="543" s="263" customFormat="1" ht="18.75" customHeight="1" spans="1:13">
      <c r="A543" s="306" t="s">
        <v>298</v>
      </c>
      <c r="B543" s="307" t="s">
        <v>298</v>
      </c>
      <c r="C543" s="308" t="s">
        <v>557</v>
      </c>
      <c r="D543" s="309">
        <f t="shared" si="373"/>
        <v>15.8327</v>
      </c>
      <c r="E543" s="310">
        <f t="shared" si="375"/>
        <v>15.8327</v>
      </c>
      <c r="F543" s="311">
        <v>15.8327</v>
      </c>
      <c r="G543" s="309">
        <v>0</v>
      </c>
      <c r="H543" s="310">
        <v>0</v>
      </c>
      <c r="I543" s="329">
        <f t="shared" si="376"/>
        <v>0</v>
      </c>
      <c r="J543" s="309">
        <v>0</v>
      </c>
      <c r="K543" s="310">
        <v>0</v>
      </c>
      <c r="L543" s="311">
        <v>0</v>
      </c>
      <c r="M543" s="330" t="s">
        <v>291</v>
      </c>
    </row>
    <row r="544" s="263" customFormat="1" ht="18.75" customHeight="1" spans="1:13">
      <c r="A544" s="306" t="s">
        <v>298</v>
      </c>
      <c r="B544" s="307" t="s">
        <v>298</v>
      </c>
      <c r="C544" s="308" t="s">
        <v>558</v>
      </c>
      <c r="D544" s="309">
        <f t="shared" si="373"/>
        <v>13.7026</v>
      </c>
      <c r="E544" s="310">
        <f t="shared" si="375"/>
        <v>13.7026</v>
      </c>
      <c r="F544" s="311">
        <v>13.7026</v>
      </c>
      <c r="G544" s="309">
        <v>0</v>
      </c>
      <c r="H544" s="310">
        <v>0</v>
      </c>
      <c r="I544" s="329">
        <f t="shared" si="376"/>
        <v>0</v>
      </c>
      <c r="J544" s="309">
        <v>0</v>
      </c>
      <c r="K544" s="310">
        <v>0</v>
      </c>
      <c r="L544" s="311">
        <v>0</v>
      </c>
      <c r="M544" s="330" t="s">
        <v>291</v>
      </c>
    </row>
    <row r="545" s="263" customFormat="1" ht="18.75" customHeight="1" spans="1:13">
      <c r="A545" s="306" t="s">
        <v>298</v>
      </c>
      <c r="B545" s="307" t="s">
        <v>298</v>
      </c>
      <c r="C545" s="308" t="s">
        <v>559</v>
      </c>
      <c r="D545" s="309">
        <f t="shared" si="373"/>
        <v>61.4429</v>
      </c>
      <c r="E545" s="310">
        <f t="shared" si="375"/>
        <v>61.4429</v>
      </c>
      <c r="F545" s="311">
        <v>61.4429</v>
      </c>
      <c r="G545" s="309">
        <v>0</v>
      </c>
      <c r="H545" s="310">
        <v>0</v>
      </c>
      <c r="I545" s="329">
        <f t="shared" si="376"/>
        <v>0</v>
      </c>
      <c r="J545" s="309">
        <v>0</v>
      </c>
      <c r="K545" s="310">
        <v>0</v>
      </c>
      <c r="L545" s="311">
        <v>0</v>
      </c>
      <c r="M545" s="330" t="s">
        <v>291</v>
      </c>
    </row>
    <row r="546" s="263" customFormat="1" ht="18.75" customHeight="1" spans="1:13">
      <c r="A546" s="306" t="s">
        <v>298</v>
      </c>
      <c r="B546" s="307" t="s">
        <v>298</v>
      </c>
      <c r="C546" s="308" t="s">
        <v>560</v>
      </c>
      <c r="D546" s="309">
        <f t="shared" si="373"/>
        <v>363.6825</v>
      </c>
      <c r="E546" s="310">
        <f t="shared" si="375"/>
        <v>363.6825</v>
      </c>
      <c r="F546" s="311">
        <v>363.6825</v>
      </c>
      <c r="G546" s="309">
        <v>0</v>
      </c>
      <c r="H546" s="310">
        <v>0</v>
      </c>
      <c r="I546" s="329">
        <f t="shared" si="376"/>
        <v>0</v>
      </c>
      <c r="J546" s="309">
        <v>0</v>
      </c>
      <c r="K546" s="310">
        <v>0</v>
      </c>
      <c r="L546" s="311">
        <v>0</v>
      </c>
      <c r="M546" s="330" t="s">
        <v>291</v>
      </c>
    </row>
    <row r="547" s="263" customFormat="1" ht="18.75" customHeight="1" spans="1:13">
      <c r="A547" s="306" t="s">
        <v>298</v>
      </c>
      <c r="B547" s="307" t="s">
        <v>298</v>
      </c>
      <c r="C547" s="308" t="s">
        <v>561</v>
      </c>
      <c r="D547" s="309">
        <f t="shared" si="373"/>
        <v>222.0958</v>
      </c>
      <c r="E547" s="310">
        <f t="shared" si="375"/>
        <v>222.0958</v>
      </c>
      <c r="F547" s="311">
        <v>222.0958</v>
      </c>
      <c r="G547" s="309">
        <v>0</v>
      </c>
      <c r="H547" s="310">
        <v>0</v>
      </c>
      <c r="I547" s="329">
        <f t="shared" si="376"/>
        <v>0</v>
      </c>
      <c r="J547" s="309">
        <v>0</v>
      </c>
      <c r="K547" s="310">
        <v>0</v>
      </c>
      <c r="L547" s="311">
        <v>0</v>
      </c>
      <c r="M547" s="330" t="s">
        <v>291</v>
      </c>
    </row>
    <row r="548" s="263" customFormat="1" ht="18.75" customHeight="1" spans="1:13">
      <c r="A548" s="306" t="s">
        <v>298</v>
      </c>
      <c r="B548" s="307" t="s">
        <v>298</v>
      </c>
      <c r="C548" s="308" t="s">
        <v>562</v>
      </c>
      <c r="D548" s="309">
        <f t="shared" ref="D548:D564" si="379">E548+I548</f>
        <v>56.236</v>
      </c>
      <c r="E548" s="310">
        <f t="shared" si="375"/>
        <v>56.236</v>
      </c>
      <c r="F548" s="311">
        <v>56.236</v>
      </c>
      <c r="G548" s="309">
        <v>0</v>
      </c>
      <c r="H548" s="310">
        <v>0</v>
      </c>
      <c r="I548" s="329">
        <f t="shared" si="376"/>
        <v>0</v>
      </c>
      <c r="J548" s="309">
        <v>0</v>
      </c>
      <c r="K548" s="310">
        <v>0</v>
      </c>
      <c r="L548" s="311">
        <v>0</v>
      </c>
      <c r="M548" s="330" t="s">
        <v>291</v>
      </c>
    </row>
    <row r="549" s="263" customFormat="1" ht="18.75" customHeight="1" spans="1:13">
      <c r="A549" s="306" t="s">
        <v>298</v>
      </c>
      <c r="B549" s="307" t="s">
        <v>298</v>
      </c>
      <c r="C549" s="308" t="s">
        <v>563</v>
      </c>
      <c r="D549" s="309">
        <f t="shared" si="379"/>
        <v>11.4712</v>
      </c>
      <c r="E549" s="310">
        <f t="shared" ref="E549:E561" si="380">SUBTOTAL(9,F549:H549)</f>
        <v>11.4712</v>
      </c>
      <c r="F549" s="311">
        <v>11.4712</v>
      </c>
      <c r="G549" s="309">
        <v>0</v>
      </c>
      <c r="H549" s="310">
        <v>0</v>
      </c>
      <c r="I549" s="329">
        <f t="shared" ref="I549:I561" si="381">SUBTOTAL(9,J549:L549)</f>
        <v>0</v>
      </c>
      <c r="J549" s="309">
        <v>0</v>
      </c>
      <c r="K549" s="310">
        <v>0</v>
      </c>
      <c r="L549" s="311">
        <v>0</v>
      </c>
      <c r="M549" s="330" t="s">
        <v>291</v>
      </c>
    </row>
    <row r="550" s="263" customFormat="1" ht="18.75" customHeight="1" spans="1:13">
      <c r="A550" s="306" t="s">
        <v>298</v>
      </c>
      <c r="B550" s="307" t="s">
        <v>298</v>
      </c>
      <c r="C550" s="308" t="s">
        <v>564</v>
      </c>
      <c r="D550" s="309">
        <f t="shared" si="379"/>
        <v>9.6693</v>
      </c>
      <c r="E550" s="310">
        <f t="shared" si="380"/>
        <v>9.6693</v>
      </c>
      <c r="F550" s="311">
        <v>9.6693</v>
      </c>
      <c r="G550" s="309">
        <v>0</v>
      </c>
      <c r="H550" s="310">
        <v>0</v>
      </c>
      <c r="I550" s="329">
        <f t="shared" si="381"/>
        <v>0</v>
      </c>
      <c r="J550" s="309">
        <v>0</v>
      </c>
      <c r="K550" s="310">
        <v>0</v>
      </c>
      <c r="L550" s="311">
        <v>0</v>
      </c>
      <c r="M550" s="330" t="s">
        <v>291</v>
      </c>
    </row>
    <row r="551" s="263" customFormat="1" ht="18.75" customHeight="1" spans="1:13">
      <c r="A551" s="306" t="s">
        <v>298</v>
      </c>
      <c r="B551" s="307" t="s">
        <v>298</v>
      </c>
      <c r="C551" s="308" t="s">
        <v>565</v>
      </c>
      <c r="D551" s="309">
        <f t="shared" si="379"/>
        <v>41.8935</v>
      </c>
      <c r="E551" s="310">
        <f t="shared" si="380"/>
        <v>41.8935</v>
      </c>
      <c r="F551" s="311">
        <v>41.8935</v>
      </c>
      <c r="G551" s="309">
        <v>0</v>
      </c>
      <c r="H551" s="310">
        <v>0</v>
      </c>
      <c r="I551" s="329">
        <f t="shared" si="381"/>
        <v>0</v>
      </c>
      <c r="J551" s="309">
        <v>0</v>
      </c>
      <c r="K551" s="310">
        <v>0</v>
      </c>
      <c r="L551" s="311">
        <v>0</v>
      </c>
      <c r="M551" s="330" t="s">
        <v>291</v>
      </c>
    </row>
    <row r="552" s="263" customFormat="1" ht="18.75" customHeight="1" spans="1:13">
      <c r="A552" s="306" t="s">
        <v>298</v>
      </c>
      <c r="B552" s="307" t="s">
        <v>298</v>
      </c>
      <c r="C552" s="308" t="s">
        <v>566</v>
      </c>
      <c r="D552" s="309">
        <f t="shared" si="379"/>
        <v>20.8592</v>
      </c>
      <c r="E552" s="310">
        <f t="shared" si="380"/>
        <v>20.8592</v>
      </c>
      <c r="F552" s="311">
        <v>20.8592</v>
      </c>
      <c r="G552" s="309">
        <v>0</v>
      </c>
      <c r="H552" s="310">
        <v>0</v>
      </c>
      <c r="I552" s="329">
        <f t="shared" si="381"/>
        <v>0</v>
      </c>
      <c r="J552" s="309">
        <v>0</v>
      </c>
      <c r="K552" s="310">
        <v>0</v>
      </c>
      <c r="L552" s="311">
        <v>0</v>
      </c>
      <c r="M552" s="330" t="s">
        <v>291</v>
      </c>
    </row>
    <row r="553" s="263" customFormat="1" ht="18.75" customHeight="1" spans="1:13">
      <c r="A553" s="306" t="s">
        <v>298</v>
      </c>
      <c r="B553" s="307" t="s">
        <v>298</v>
      </c>
      <c r="C553" s="308" t="s">
        <v>567</v>
      </c>
      <c r="D553" s="309">
        <f t="shared" si="379"/>
        <v>6.8313</v>
      </c>
      <c r="E553" s="310">
        <f t="shared" si="380"/>
        <v>6.8313</v>
      </c>
      <c r="F553" s="311">
        <v>6.8313</v>
      </c>
      <c r="G553" s="309">
        <v>0</v>
      </c>
      <c r="H553" s="310">
        <v>0</v>
      </c>
      <c r="I553" s="329">
        <f t="shared" si="381"/>
        <v>0</v>
      </c>
      <c r="J553" s="309">
        <v>0</v>
      </c>
      <c r="K553" s="310">
        <v>0</v>
      </c>
      <c r="L553" s="311">
        <v>0</v>
      </c>
      <c r="M553" s="330" t="s">
        <v>291</v>
      </c>
    </row>
    <row r="554" s="263" customFormat="1" ht="18.75" customHeight="1" spans="1:13">
      <c r="A554" s="306" t="s">
        <v>298</v>
      </c>
      <c r="B554" s="307" t="s">
        <v>298</v>
      </c>
      <c r="C554" s="308" t="s">
        <v>568</v>
      </c>
      <c r="D554" s="309">
        <f t="shared" si="379"/>
        <v>41.1005</v>
      </c>
      <c r="E554" s="310">
        <f t="shared" si="380"/>
        <v>41.1005</v>
      </c>
      <c r="F554" s="311">
        <v>41.1005</v>
      </c>
      <c r="G554" s="309">
        <v>0</v>
      </c>
      <c r="H554" s="310">
        <v>0</v>
      </c>
      <c r="I554" s="329">
        <f t="shared" si="381"/>
        <v>0</v>
      </c>
      <c r="J554" s="309">
        <v>0</v>
      </c>
      <c r="K554" s="310">
        <v>0</v>
      </c>
      <c r="L554" s="311">
        <v>0</v>
      </c>
      <c r="M554" s="330" t="s">
        <v>291</v>
      </c>
    </row>
    <row r="555" s="263" customFormat="1" ht="18.75" customHeight="1" spans="1:13">
      <c r="A555" s="306" t="s">
        <v>298</v>
      </c>
      <c r="B555" s="307" t="s">
        <v>298</v>
      </c>
      <c r="C555" s="308" t="s">
        <v>569</v>
      </c>
      <c r="D555" s="309">
        <f t="shared" si="379"/>
        <v>21.9126</v>
      </c>
      <c r="E555" s="310">
        <f t="shared" si="380"/>
        <v>21.9126</v>
      </c>
      <c r="F555" s="311">
        <v>21.9126</v>
      </c>
      <c r="G555" s="309">
        <v>0</v>
      </c>
      <c r="H555" s="310">
        <v>0</v>
      </c>
      <c r="I555" s="329">
        <f t="shared" si="381"/>
        <v>0</v>
      </c>
      <c r="J555" s="309">
        <v>0</v>
      </c>
      <c r="K555" s="310">
        <v>0</v>
      </c>
      <c r="L555" s="311">
        <v>0</v>
      </c>
      <c r="M555" s="330" t="s">
        <v>291</v>
      </c>
    </row>
    <row r="556" s="263" customFormat="1" ht="18.75" customHeight="1" spans="1:13">
      <c r="A556" s="306" t="s">
        <v>298</v>
      </c>
      <c r="B556" s="307" t="s">
        <v>298</v>
      </c>
      <c r="C556" s="308" t="s">
        <v>570</v>
      </c>
      <c r="D556" s="309">
        <f t="shared" si="379"/>
        <v>14.9268</v>
      </c>
      <c r="E556" s="310">
        <f t="shared" si="380"/>
        <v>14.9268</v>
      </c>
      <c r="F556" s="311">
        <v>14.9268</v>
      </c>
      <c r="G556" s="309">
        <v>0</v>
      </c>
      <c r="H556" s="310">
        <v>0</v>
      </c>
      <c r="I556" s="329">
        <f t="shared" si="381"/>
        <v>0</v>
      </c>
      <c r="J556" s="309">
        <v>0</v>
      </c>
      <c r="K556" s="310">
        <v>0</v>
      </c>
      <c r="L556" s="311">
        <v>0</v>
      </c>
      <c r="M556" s="330" t="s">
        <v>291</v>
      </c>
    </row>
    <row r="557" s="263" customFormat="1" ht="18.75" customHeight="1" spans="1:13">
      <c r="A557" s="306" t="s">
        <v>298</v>
      </c>
      <c r="B557" s="307" t="s">
        <v>298</v>
      </c>
      <c r="C557" s="308" t="s">
        <v>571</v>
      </c>
      <c r="D557" s="309">
        <f t="shared" si="379"/>
        <v>180.9415</v>
      </c>
      <c r="E557" s="310">
        <f t="shared" si="380"/>
        <v>180.9415</v>
      </c>
      <c r="F557" s="311">
        <v>180.9415</v>
      </c>
      <c r="G557" s="309">
        <v>0</v>
      </c>
      <c r="H557" s="310">
        <v>0</v>
      </c>
      <c r="I557" s="329">
        <f t="shared" si="381"/>
        <v>0</v>
      </c>
      <c r="J557" s="309">
        <v>0</v>
      </c>
      <c r="K557" s="310">
        <v>0</v>
      </c>
      <c r="L557" s="311">
        <v>0</v>
      </c>
      <c r="M557" s="330" t="s">
        <v>291</v>
      </c>
    </row>
    <row r="558" s="263" customFormat="1" ht="18.75" customHeight="1" spans="1:13">
      <c r="A558" s="306" t="s">
        <v>298</v>
      </c>
      <c r="B558" s="307" t="s">
        <v>298</v>
      </c>
      <c r="C558" s="308" t="s">
        <v>464</v>
      </c>
      <c r="D558" s="309">
        <f t="shared" si="379"/>
        <v>44.2923</v>
      </c>
      <c r="E558" s="310">
        <f t="shared" si="380"/>
        <v>44.2923</v>
      </c>
      <c r="F558" s="311">
        <v>44.2923</v>
      </c>
      <c r="G558" s="309">
        <v>0</v>
      </c>
      <c r="H558" s="310">
        <v>0</v>
      </c>
      <c r="I558" s="329">
        <f t="shared" si="381"/>
        <v>0</v>
      </c>
      <c r="J558" s="309">
        <v>0</v>
      </c>
      <c r="K558" s="310">
        <v>0</v>
      </c>
      <c r="L558" s="311">
        <v>0</v>
      </c>
      <c r="M558" s="330" t="s">
        <v>291</v>
      </c>
    </row>
    <row r="559" s="263" customFormat="1" ht="18.75" customHeight="1" spans="1:13">
      <c r="A559" s="306" t="s">
        <v>298</v>
      </c>
      <c r="B559" s="307" t="s">
        <v>298</v>
      </c>
      <c r="C559" s="308" t="s">
        <v>572</v>
      </c>
      <c r="D559" s="309">
        <f t="shared" si="379"/>
        <v>35.0488</v>
      </c>
      <c r="E559" s="310">
        <f t="shared" si="380"/>
        <v>35.0488</v>
      </c>
      <c r="F559" s="311">
        <v>35.0488</v>
      </c>
      <c r="G559" s="309">
        <v>0</v>
      </c>
      <c r="H559" s="310">
        <v>0</v>
      </c>
      <c r="I559" s="329">
        <f t="shared" si="381"/>
        <v>0</v>
      </c>
      <c r="J559" s="309">
        <v>0</v>
      </c>
      <c r="K559" s="310">
        <v>0</v>
      </c>
      <c r="L559" s="311">
        <v>0</v>
      </c>
      <c r="M559" s="330" t="s">
        <v>291</v>
      </c>
    </row>
    <row r="560" s="263" customFormat="1" ht="18.75" customHeight="1" spans="1:13">
      <c r="A560" s="306" t="s">
        <v>298</v>
      </c>
      <c r="B560" s="307" t="s">
        <v>298</v>
      </c>
      <c r="C560" s="308" t="s">
        <v>573</v>
      </c>
      <c r="D560" s="309">
        <f t="shared" si="379"/>
        <v>18.8051</v>
      </c>
      <c r="E560" s="310">
        <f t="shared" si="380"/>
        <v>18.8051</v>
      </c>
      <c r="F560" s="311">
        <v>18.8051</v>
      </c>
      <c r="G560" s="309">
        <v>0</v>
      </c>
      <c r="H560" s="310">
        <v>0</v>
      </c>
      <c r="I560" s="329">
        <f t="shared" si="381"/>
        <v>0</v>
      </c>
      <c r="J560" s="309">
        <v>0</v>
      </c>
      <c r="K560" s="310">
        <v>0</v>
      </c>
      <c r="L560" s="311">
        <v>0</v>
      </c>
      <c r="M560" s="330" t="s">
        <v>291</v>
      </c>
    </row>
    <row r="561" s="263" customFormat="1" ht="18.75" customHeight="1" spans="1:13">
      <c r="A561" s="306" t="s">
        <v>298</v>
      </c>
      <c r="B561" s="307" t="s">
        <v>298</v>
      </c>
      <c r="C561" s="308" t="s">
        <v>574</v>
      </c>
      <c r="D561" s="309">
        <f t="shared" si="379"/>
        <v>10.1812</v>
      </c>
      <c r="E561" s="310">
        <f t="shared" si="380"/>
        <v>10.1812</v>
      </c>
      <c r="F561" s="311">
        <v>10.1812</v>
      </c>
      <c r="G561" s="309">
        <v>0</v>
      </c>
      <c r="H561" s="310">
        <v>0</v>
      </c>
      <c r="I561" s="329">
        <f t="shared" si="381"/>
        <v>0</v>
      </c>
      <c r="J561" s="309">
        <v>0</v>
      </c>
      <c r="K561" s="310">
        <v>0</v>
      </c>
      <c r="L561" s="311">
        <v>0</v>
      </c>
      <c r="M561" s="330" t="s">
        <v>291</v>
      </c>
    </row>
    <row r="562" s="263" customFormat="1" ht="18.75" customHeight="1" spans="1:13">
      <c r="A562" s="306"/>
      <c r="B562" s="307"/>
      <c r="C562" s="308" t="s">
        <v>301</v>
      </c>
      <c r="D562" s="309">
        <f t="shared" si="379"/>
        <v>1278.02</v>
      </c>
      <c r="E562" s="310">
        <f>SUM(F562:H562)</f>
        <v>1278.02</v>
      </c>
      <c r="F562" s="311">
        <v>1278.02</v>
      </c>
      <c r="G562" s="309"/>
      <c r="H562" s="310"/>
      <c r="I562" s="329"/>
      <c r="J562" s="309"/>
      <c r="K562" s="310"/>
      <c r="L562" s="311"/>
      <c r="M562" s="330"/>
    </row>
    <row r="563" s="263" customFormat="1" ht="18.75" customHeight="1" spans="1:13">
      <c r="A563" s="306" t="s">
        <v>298</v>
      </c>
      <c r="B563" s="307" t="s">
        <v>298</v>
      </c>
      <c r="C563" s="308" t="s">
        <v>575</v>
      </c>
      <c r="D563" s="309">
        <f t="shared" si="379"/>
        <v>31.9547</v>
      </c>
      <c r="E563" s="310">
        <f t="shared" ref="E563:E567" si="382">SUBTOTAL(9,F563:H563)</f>
        <v>31.9547</v>
      </c>
      <c r="F563" s="311">
        <v>31.9547</v>
      </c>
      <c r="G563" s="309">
        <v>0</v>
      </c>
      <c r="H563" s="310">
        <v>0</v>
      </c>
      <c r="I563" s="329">
        <f t="shared" ref="I563:I567" si="383">SUBTOTAL(9,J563:L563)</f>
        <v>0</v>
      </c>
      <c r="J563" s="309">
        <v>0</v>
      </c>
      <c r="K563" s="310">
        <v>0</v>
      </c>
      <c r="L563" s="311">
        <v>0</v>
      </c>
      <c r="M563" s="330" t="s">
        <v>291</v>
      </c>
    </row>
    <row r="564" s="263" customFormat="1" ht="18.75" customHeight="1" spans="1:13">
      <c r="A564" s="306" t="s">
        <v>298</v>
      </c>
      <c r="B564" s="307" t="s">
        <v>298</v>
      </c>
      <c r="C564" s="308"/>
      <c r="D564" s="309">
        <f t="shared" si="379"/>
        <v>1000</v>
      </c>
      <c r="E564" s="310">
        <f t="shared" si="382"/>
        <v>1000</v>
      </c>
      <c r="F564" s="311">
        <v>1000</v>
      </c>
      <c r="G564" s="309">
        <v>0</v>
      </c>
      <c r="H564" s="310">
        <v>0</v>
      </c>
      <c r="I564" s="329">
        <f t="shared" si="383"/>
        <v>0</v>
      </c>
      <c r="J564" s="309">
        <v>0</v>
      </c>
      <c r="K564" s="310">
        <v>0</v>
      </c>
      <c r="L564" s="311">
        <v>0</v>
      </c>
      <c r="M564" s="330" t="s">
        <v>291</v>
      </c>
    </row>
    <row r="565" s="263" customFormat="1" ht="28" customHeight="1" spans="1:13">
      <c r="A565" s="300" t="s">
        <v>963</v>
      </c>
      <c r="B565" s="301" t="s">
        <v>964</v>
      </c>
      <c r="C565" s="302"/>
      <c r="D565" s="303">
        <f t="shared" ref="D565:L565" si="384">SUM(D566:D567)</f>
        <v>1672.1226</v>
      </c>
      <c r="E565" s="304">
        <f t="shared" si="384"/>
        <v>0.1226</v>
      </c>
      <c r="F565" s="305">
        <f t="shared" si="384"/>
        <v>0.1226</v>
      </c>
      <c r="G565" s="303">
        <f t="shared" si="384"/>
        <v>0</v>
      </c>
      <c r="H565" s="304">
        <f t="shared" si="384"/>
        <v>0</v>
      </c>
      <c r="I565" s="327">
        <f t="shared" si="384"/>
        <v>1672</v>
      </c>
      <c r="J565" s="303">
        <f t="shared" si="384"/>
        <v>0</v>
      </c>
      <c r="K565" s="304">
        <f t="shared" si="384"/>
        <v>0</v>
      </c>
      <c r="L565" s="305">
        <f t="shared" si="384"/>
        <v>1672</v>
      </c>
      <c r="M565" s="328" t="s">
        <v>291</v>
      </c>
    </row>
    <row r="566" s="263" customFormat="1" ht="22" customHeight="1" spans="1:13">
      <c r="A566" s="306" t="s">
        <v>298</v>
      </c>
      <c r="B566" s="307" t="s">
        <v>298</v>
      </c>
      <c r="C566" s="312" t="s">
        <v>548</v>
      </c>
      <c r="D566" s="309">
        <f t="shared" ref="D566:D570" si="385">E566+I566</f>
        <v>0.1226</v>
      </c>
      <c r="E566" s="310">
        <f t="shared" si="382"/>
        <v>0.1226</v>
      </c>
      <c r="F566" s="311">
        <v>0.1226</v>
      </c>
      <c r="G566" s="309">
        <v>0</v>
      </c>
      <c r="H566" s="310">
        <v>0</v>
      </c>
      <c r="I566" s="329">
        <f t="shared" si="383"/>
        <v>0</v>
      </c>
      <c r="J566" s="309">
        <v>0</v>
      </c>
      <c r="K566" s="310">
        <v>0</v>
      </c>
      <c r="L566" s="311">
        <v>0</v>
      </c>
      <c r="M566" s="330" t="s">
        <v>291</v>
      </c>
    </row>
    <row r="567" s="263" customFormat="1" ht="22" customHeight="1" spans="1:13">
      <c r="A567" s="306" t="s">
        <v>298</v>
      </c>
      <c r="B567" s="307" t="s">
        <v>298</v>
      </c>
      <c r="C567" s="308" t="s">
        <v>556</v>
      </c>
      <c r="D567" s="309">
        <f t="shared" si="385"/>
        <v>1672</v>
      </c>
      <c r="E567" s="310">
        <f t="shared" si="382"/>
        <v>0</v>
      </c>
      <c r="F567" s="311">
        <v>0</v>
      </c>
      <c r="G567" s="309">
        <v>0</v>
      </c>
      <c r="H567" s="310">
        <v>0</v>
      </c>
      <c r="I567" s="329">
        <f t="shared" si="383"/>
        <v>1672</v>
      </c>
      <c r="J567" s="309">
        <v>0</v>
      </c>
      <c r="K567" s="310">
        <v>0</v>
      </c>
      <c r="L567" s="311">
        <v>1672</v>
      </c>
      <c r="M567" s="330" t="s">
        <v>965</v>
      </c>
    </row>
    <row r="568" s="263" customFormat="1" ht="22" customHeight="1" spans="1:13">
      <c r="A568" s="300" t="s">
        <v>966</v>
      </c>
      <c r="B568" s="301" t="s">
        <v>967</v>
      </c>
      <c r="C568" s="302"/>
      <c r="D568" s="303">
        <f t="shared" ref="D568:L568" si="386">SUM(D569:D570)</f>
        <v>605.28</v>
      </c>
      <c r="E568" s="304">
        <f t="shared" si="386"/>
        <v>600</v>
      </c>
      <c r="F568" s="305">
        <f t="shared" si="386"/>
        <v>0</v>
      </c>
      <c r="G568" s="303">
        <f t="shared" si="386"/>
        <v>0</v>
      </c>
      <c r="H568" s="304">
        <f t="shared" si="386"/>
        <v>600</v>
      </c>
      <c r="I568" s="327">
        <f t="shared" si="386"/>
        <v>5.28</v>
      </c>
      <c r="J568" s="303">
        <f t="shared" si="386"/>
        <v>5.28</v>
      </c>
      <c r="K568" s="304">
        <f t="shared" si="386"/>
        <v>0</v>
      </c>
      <c r="L568" s="305">
        <f t="shared" si="386"/>
        <v>0</v>
      </c>
      <c r="M568" s="328" t="s">
        <v>291</v>
      </c>
    </row>
    <row r="569" s="263" customFormat="1" ht="26" customHeight="1" spans="1:13">
      <c r="A569" s="306" t="s">
        <v>298</v>
      </c>
      <c r="B569" s="307" t="s">
        <v>298</v>
      </c>
      <c r="C569" s="308" t="s">
        <v>556</v>
      </c>
      <c r="D569" s="309">
        <f t="shared" si="385"/>
        <v>5.28</v>
      </c>
      <c r="E569" s="310">
        <f>SUBTOTAL(9,F569:H569)</f>
        <v>0</v>
      </c>
      <c r="F569" s="311">
        <v>0</v>
      </c>
      <c r="G569" s="309">
        <v>0</v>
      </c>
      <c r="H569" s="310">
        <v>0</v>
      </c>
      <c r="I569" s="329">
        <f>SUBTOTAL(9,J569:L569)</f>
        <v>5.28</v>
      </c>
      <c r="J569" s="309">
        <v>5.28</v>
      </c>
      <c r="K569" s="310">
        <v>0</v>
      </c>
      <c r="L569" s="311">
        <v>0</v>
      </c>
      <c r="M569" s="330" t="s">
        <v>968</v>
      </c>
    </row>
    <row r="570" s="263" customFormat="1" ht="18.75" customHeight="1" spans="1:13">
      <c r="A570" s="306" t="s">
        <v>298</v>
      </c>
      <c r="B570" s="307" t="s">
        <v>298</v>
      </c>
      <c r="C570" s="308"/>
      <c r="D570" s="309">
        <f t="shared" si="385"/>
        <v>600</v>
      </c>
      <c r="E570" s="310">
        <f>SUBTOTAL(9,F570:H570)</f>
        <v>600</v>
      </c>
      <c r="F570" s="311">
        <v>0</v>
      </c>
      <c r="G570" s="309">
        <v>0</v>
      </c>
      <c r="H570" s="310">
        <v>600</v>
      </c>
      <c r="I570" s="329">
        <f>SUBTOTAL(9,J570:L570)</f>
        <v>0</v>
      </c>
      <c r="J570" s="309">
        <v>0</v>
      </c>
      <c r="K570" s="310">
        <v>0</v>
      </c>
      <c r="L570" s="311">
        <v>0</v>
      </c>
      <c r="M570" s="330" t="s">
        <v>291</v>
      </c>
    </row>
    <row r="571" s="263" customFormat="1" ht="18.75" customHeight="1" spans="1:13">
      <c r="A571" s="294" t="s">
        <v>969</v>
      </c>
      <c r="B571" s="295" t="s">
        <v>970</v>
      </c>
      <c r="C571" s="296"/>
      <c r="D571" s="297">
        <f t="shared" ref="D571:L571" si="387">D572</f>
        <v>274</v>
      </c>
      <c r="E571" s="298">
        <f t="shared" si="387"/>
        <v>0</v>
      </c>
      <c r="F571" s="299">
        <f t="shared" si="387"/>
        <v>0</v>
      </c>
      <c r="G571" s="297">
        <f t="shared" si="387"/>
        <v>0</v>
      </c>
      <c r="H571" s="298">
        <f t="shared" si="387"/>
        <v>0</v>
      </c>
      <c r="I571" s="325">
        <f t="shared" si="387"/>
        <v>274</v>
      </c>
      <c r="J571" s="297">
        <f t="shared" si="387"/>
        <v>274</v>
      </c>
      <c r="K571" s="298">
        <f t="shared" si="387"/>
        <v>0</v>
      </c>
      <c r="L571" s="299">
        <f t="shared" si="387"/>
        <v>0</v>
      </c>
      <c r="M571" s="326" t="s">
        <v>291</v>
      </c>
    </row>
    <row r="572" s="263" customFormat="1" ht="20" customHeight="1" spans="1:13">
      <c r="A572" s="300" t="s">
        <v>971</v>
      </c>
      <c r="B572" s="301" t="s">
        <v>972</v>
      </c>
      <c r="C572" s="302"/>
      <c r="D572" s="303">
        <f t="shared" ref="D572:L572" si="388">SUM(D573:D573)</f>
        <v>274</v>
      </c>
      <c r="E572" s="304">
        <f t="shared" si="388"/>
        <v>0</v>
      </c>
      <c r="F572" s="305">
        <f t="shared" si="388"/>
        <v>0</v>
      </c>
      <c r="G572" s="303">
        <f t="shared" si="388"/>
        <v>0</v>
      </c>
      <c r="H572" s="304">
        <f t="shared" si="388"/>
        <v>0</v>
      </c>
      <c r="I572" s="327">
        <f t="shared" si="388"/>
        <v>274</v>
      </c>
      <c r="J572" s="303">
        <f t="shared" si="388"/>
        <v>274</v>
      </c>
      <c r="K572" s="304">
        <f t="shared" si="388"/>
        <v>0</v>
      </c>
      <c r="L572" s="305">
        <f t="shared" si="388"/>
        <v>0</v>
      </c>
      <c r="M572" s="328" t="s">
        <v>291</v>
      </c>
    </row>
    <row r="573" s="263" customFormat="1" ht="23" customHeight="1" spans="1:13">
      <c r="A573" s="306" t="s">
        <v>298</v>
      </c>
      <c r="B573" s="307" t="s">
        <v>298</v>
      </c>
      <c r="C573" s="308"/>
      <c r="D573" s="309">
        <f>E573+I573</f>
        <v>274</v>
      </c>
      <c r="E573" s="310">
        <f>SUBTOTAL(9,F573:H573)</f>
        <v>0</v>
      </c>
      <c r="F573" s="311">
        <v>0</v>
      </c>
      <c r="G573" s="309">
        <v>0</v>
      </c>
      <c r="H573" s="310">
        <v>0</v>
      </c>
      <c r="I573" s="329">
        <f>SUBTOTAL(9,J573:L573)</f>
        <v>274</v>
      </c>
      <c r="J573" s="309">
        <f>272+2</f>
        <v>274</v>
      </c>
      <c r="K573" s="310">
        <v>0</v>
      </c>
      <c r="L573" s="311">
        <v>0</v>
      </c>
      <c r="M573" s="330" t="s">
        <v>973</v>
      </c>
    </row>
    <row r="574" s="263" customFormat="1" ht="18.75" customHeight="1" spans="1:13">
      <c r="A574" s="294" t="s">
        <v>974</v>
      </c>
      <c r="B574" s="295" t="s">
        <v>975</v>
      </c>
      <c r="C574" s="296"/>
      <c r="D574" s="297">
        <f t="shared" ref="D574:L574" si="389">D575+D577+D579+D581+D583+D585</f>
        <v>1000</v>
      </c>
      <c r="E574" s="298">
        <f t="shared" si="389"/>
        <v>0</v>
      </c>
      <c r="F574" s="299">
        <f t="shared" si="389"/>
        <v>0</v>
      </c>
      <c r="G574" s="297">
        <f t="shared" si="389"/>
        <v>0</v>
      </c>
      <c r="H574" s="298">
        <f t="shared" si="389"/>
        <v>0</v>
      </c>
      <c r="I574" s="325">
        <f t="shared" si="389"/>
        <v>1000</v>
      </c>
      <c r="J574" s="297">
        <f t="shared" si="389"/>
        <v>0</v>
      </c>
      <c r="K574" s="298">
        <f t="shared" si="389"/>
        <v>0</v>
      </c>
      <c r="L574" s="299">
        <f t="shared" si="389"/>
        <v>1000</v>
      </c>
      <c r="M574" s="326" t="s">
        <v>291</v>
      </c>
    </row>
    <row r="575" s="263" customFormat="1" ht="22" customHeight="1" spans="1:13">
      <c r="A575" s="300" t="s">
        <v>976</v>
      </c>
      <c r="B575" s="301" t="s">
        <v>977</v>
      </c>
      <c r="C575" s="302"/>
      <c r="D575" s="303">
        <f t="shared" ref="D575:L575" si="390">D576</f>
        <v>170</v>
      </c>
      <c r="E575" s="304">
        <f t="shared" si="390"/>
        <v>0</v>
      </c>
      <c r="F575" s="305">
        <f t="shared" si="390"/>
        <v>0</v>
      </c>
      <c r="G575" s="303">
        <f t="shared" si="390"/>
        <v>0</v>
      </c>
      <c r="H575" s="304">
        <f t="shared" si="390"/>
        <v>0</v>
      </c>
      <c r="I575" s="327">
        <f t="shared" si="390"/>
        <v>170</v>
      </c>
      <c r="J575" s="303">
        <f t="shared" si="390"/>
        <v>0</v>
      </c>
      <c r="K575" s="304">
        <f t="shared" si="390"/>
        <v>0</v>
      </c>
      <c r="L575" s="305">
        <f t="shared" si="390"/>
        <v>170</v>
      </c>
      <c r="M575" s="328" t="s">
        <v>291</v>
      </c>
    </row>
    <row r="576" s="263" customFormat="1" ht="18.75" customHeight="1" spans="1:13">
      <c r="A576" s="306" t="s">
        <v>298</v>
      </c>
      <c r="B576" s="307" t="s">
        <v>298</v>
      </c>
      <c r="C576" s="308" t="s">
        <v>556</v>
      </c>
      <c r="D576" s="309">
        <f>E576+I576</f>
        <v>170</v>
      </c>
      <c r="E576" s="310">
        <f t="shared" ref="E576:E580" si="391">SUBTOTAL(9,F576:H576)</f>
        <v>0</v>
      </c>
      <c r="F576" s="311">
        <v>0</v>
      </c>
      <c r="G576" s="309">
        <v>0</v>
      </c>
      <c r="H576" s="310">
        <v>0</v>
      </c>
      <c r="I576" s="329">
        <f t="shared" ref="I576:I580" si="392">SUBTOTAL(9,J576:L576)</f>
        <v>170</v>
      </c>
      <c r="J576" s="309">
        <v>0</v>
      </c>
      <c r="K576" s="310">
        <v>0</v>
      </c>
      <c r="L576" s="311">
        <v>170</v>
      </c>
      <c r="M576" s="330" t="s">
        <v>978</v>
      </c>
    </row>
    <row r="577" s="263" customFormat="1" ht="22" customHeight="1" spans="1:13">
      <c r="A577" s="300" t="s">
        <v>979</v>
      </c>
      <c r="B577" s="301" t="s">
        <v>980</v>
      </c>
      <c r="C577" s="302"/>
      <c r="D577" s="303">
        <f t="shared" ref="D577:L577" si="393">D578</f>
        <v>80</v>
      </c>
      <c r="E577" s="304">
        <f t="shared" si="393"/>
        <v>0</v>
      </c>
      <c r="F577" s="305">
        <f t="shared" si="393"/>
        <v>0</v>
      </c>
      <c r="G577" s="303">
        <f t="shared" si="393"/>
        <v>0</v>
      </c>
      <c r="H577" s="304">
        <f t="shared" si="393"/>
        <v>0</v>
      </c>
      <c r="I577" s="327">
        <f t="shared" si="393"/>
        <v>80</v>
      </c>
      <c r="J577" s="303">
        <f t="shared" si="393"/>
        <v>0</v>
      </c>
      <c r="K577" s="304">
        <f t="shared" si="393"/>
        <v>0</v>
      </c>
      <c r="L577" s="305">
        <f t="shared" si="393"/>
        <v>80</v>
      </c>
      <c r="M577" s="328" t="s">
        <v>291</v>
      </c>
    </row>
    <row r="578" s="263" customFormat="1" ht="18.75" customHeight="1" spans="1:13">
      <c r="A578" s="306" t="s">
        <v>298</v>
      </c>
      <c r="B578" s="307" t="s">
        <v>298</v>
      </c>
      <c r="C578" s="308" t="s">
        <v>556</v>
      </c>
      <c r="D578" s="309">
        <f t="shared" ref="D578:D582" si="394">E578+I578</f>
        <v>80</v>
      </c>
      <c r="E578" s="310">
        <f t="shared" si="391"/>
        <v>0</v>
      </c>
      <c r="F578" s="311">
        <v>0</v>
      </c>
      <c r="G578" s="309">
        <v>0</v>
      </c>
      <c r="H578" s="310">
        <v>0</v>
      </c>
      <c r="I578" s="329">
        <f t="shared" si="392"/>
        <v>80</v>
      </c>
      <c r="J578" s="309">
        <v>0</v>
      </c>
      <c r="K578" s="310">
        <v>0</v>
      </c>
      <c r="L578" s="311">
        <v>80</v>
      </c>
      <c r="M578" s="330" t="s">
        <v>981</v>
      </c>
    </row>
    <row r="579" s="263" customFormat="1" ht="22" customHeight="1" spans="1:13">
      <c r="A579" s="300" t="s">
        <v>982</v>
      </c>
      <c r="B579" s="301" t="s">
        <v>983</v>
      </c>
      <c r="C579" s="302"/>
      <c r="D579" s="303">
        <f t="shared" ref="D579:L579" si="395">D580</f>
        <v>520</v>
      </c>
      <c r="E579" s="304">
        <f t="shared" si="395"/>
        <v>0</v>
      </c>
      <c r="F579" s="305">
        <f t="shared" si="395"/>
        <v>0</v>
      </c>
      <c r="G579" s="303">
        <f t="shared" si="395"/>
        <v>0</v>
      </c>
      <c r="H579" s="304">
        <f t="shared" si="395"/>
        <v>0</v>
      </c>
      <c r="I579" s="327">
        <f t="shared" si="395"/>
        <v>520</v>
      </c>
      <c r="J579" s="303">
        <f t="shared" si="395"/>
        <v>0</v>
      </c>
      <c r="K579" s="304">
        <f t="shared" si="395"/>
        <v>0</v>
      </c>
      <c r="L579" s="305">
        <f t="shared" si="395"/>
        <v>520</v>
      </c>
      <c r="M579" s="328" t="s">
        <v>291</v>
      </c>
    </row>
    <row r="580" s="263" customFormat="1" ht="22" customHeight="1" spans="1:13">
      <c r="A580" s="306" t="s">
        <v>298</v>
      </c>
      <c r="B580" s="307" t="s">
        <v>298</v>
      </c>
      <c r="C580" s="308" t="s">
        <v>556</v>
      </c>
      <c r="D580" s="309">
        <f t="shared" si="394"/>
        <v>520</v>
      </c>
      <c r="E580" s="310">
        <f t="shared" si="391"/>
        <v>0</v>
      </c>
      <c r="F580" s="311">
        <v>0</v>
      </c>
      <c r="G580" s="309">
        <v>0</v>
      </c>
      <c r="H580" s="310">
        <v>0</v>
      </c>
      <c r="I580" s="329">
        <f t="shared" si="392"/>
        <v>520</v>
      </c>
      <c r="J580" s="309">
        <v>0</v>
      </c>
      <c r="K580" s="310">
        <v>0</v>
      </c>
      <c r="L580" s="311">
        <v>520</v>
      </c>
      <c r="M580" s="330" t="s">
        <v>984</v>
      </c>
    </row>
    <row r="581" s="263" customFormat="1" ht="22" customHeight="1" spans="1:13">
      <c r="A581" s="300" t="s">
        <v>985</v>
      </c>
      <c r="B581" s="301" t="s">
        <v>986</v>
      </c>
      <c r="C581" s="302"/>
      <c r="D581" s="303">
        <f t="shared" ref="D581:L581" si="396">D582</f>
        <v>30</v>
      </c>
      <c r="E581" s="304">
        <f t="shared" si="396"/>
        <v>0</v>
      </c>
      <c r="F581" s="305">
        <f t="shared" si="396"/>
        <v>0</v>
      </c>
      <c r="G581" s="303">
        <f t="shared" si="396"/>
        <v>0</v>
      </c>
      <c r="H581" s="304">
        <f t="shared" si="396"/>
        <v>0</v>
      </c>
      <c r="I581" s="327">
        <f t="shared" si="396"/>
        <v>30</v>
      </c>
      <c r="J581" s="303">
        <f t="shared" si="396"/>
        <v>0</v>
      </c>
      <c r="K581" s="304">
        <f t="shared" si="396"/>
        <v>0</v>
      </c>
      <c r="L581" s="305">
        <f t="shared" si="396"/>
        <v>30</v>
      </c>
      <c r="M581" s="328" t="s">
        <v>291</v>
      </c>
    </row>
    <row r="582" s="263" customFormat="1" ht="27" customHeight="1" spans="1:13">
      <c r="A582" s="306" t="s">
        <v>298</v>
      </c>
      <c r="B582" s="307" t="s">
        <v>298</v>
      </c>
      <c r="C582" s="308" t="s">
        <v>556</v>
      </c>
      <c r="D582" s="309">
        <f t="shared" si="394"/>
        <v>30</v>
      </c>
      <c r="E582" s="310">
        <f t="shared" ref="E582:E586" si="397">SUBTOTAL(9,F582:H582)</f>
        <v>0</v>
      </c>
      <c r="F582" s="311">
        <v>0</v>
      </c>
      <c r="G582" s="309">
        <v>0</v>
      </c>
      <c r="H582" s="310">
        <v>0</v>
      </c>
      <c r="I582" s="329">
        <f t="shared" ref="I582:I586" si="398">SUBTOTAL(9,J582:L582)</f>
        <v>30</v>
      </c>
      <c r="J582" s="309">
        <v>0</v>
      </c>
      <c r="K582" s="310">
        <v>0</v>
      </c>
      <c r="L582" s="311">
        <v>30</v>
      </c>
      <c r="M582" s="330" t="s">
        <v>987</v>
      </c>
    </row>
    <row r="583" s="263" customFormat="1" ht="22" customHeight="1" spans="1:13">
      <c r="A583" s="300" t="s">
        <v>988</v>
      </c>
      <c r="B583" s="301" t="s">
        <v>989</v>
      </c>
      <c r="C583" s="302"/>
      <c r="D583" s="303">
        <f t="shared" ref="D583:L583" si="399">D584</f>
        <v>50</v>
      </c>
      <c r="E583" s="304">
        <f t="shared" si="399"/>
        <v>0</v>
      </c>
      <c r="F583" s="305">
        <f t="shared" si="399"/>
        <v>0</v>
      </c>
      <c r="G583" s="303">
        <f t="shared" si="399"/>
        <v>0</v>
      </c>
      <c r="H583" s="304">
        <f t="shared" si="399"/>
        <v>0</v>
      </c>
      <c r="I583" s="327">
        <f t="shared" si="399"/>
        <v>50</v>
      </c>
      <c r="J583" s="303">
        <f t="shared" si="399"/>
        <v>0</v>
      </c>
      <c r="K583" s="304">
        <f t="shared" si="399"/>
        <v>0</v>
      </c>
      <c r="L583" s="305">
        <f t="shared" si="399"/>
        <v>50</v>
      </c>
      <c r="M583" s="328" t="s">
        <v>291</v>
      </c>
    </row>
    <row r="584" s="263" customFormat="1" ht="18.75" customHeight="1" spans="1:13">
      <c r="A584" s="306" t="s">
        <v>298</v>
      </c>
      <c r="B584" s="307" t="s">
        <v>298</v>
      </c>
      <c r="C584" s="308" t="s">
        <v>556</v>
      </c>
      <c r="D584" s="309">
        <f t="shared" ref="D584:D589" si="400">E584+I584</f>
        <v>50</v>
      </c>
      <c r="E584" s="310">
        <f t="shared" si="397"/>
        <v>0</v>
      </c>
      <c r="F584" s="311">
        <v>0</v>
      </c>
      <c r="G584" s="309">
        <v>0</v>
      </c>
      <c r="H584" s="310">
        <v>0</v>
      </c>
      <c r="I584" s="329">
        <f t="shared" si="398"/>
        <v>50</v>
      </c>
      <c r="J584" s="309">
        <v>0</v>
      </c>
      <c r="K584" s="310">
        <v>0</v>
      </c>
      <c r="L584" s="311">
        <v>50</v>
      </c>
      <c r="M584" s="330" t="s">
        <v>990</v>
      </c>
    </row>
    <row r="585" s="263" customFormat="1" ht="22" customHeight="1" spans="1:13">
      <c r="A585" s="300" t="s">
        <v>991</v>
      </c>
      <c r="B585" s="301" t="s">
        <v>992</v>
      </c>
      <c r="C585" s="302"/>
      <c r="D585" s="303">
        <f t="shared" ref="D585:L585" si="401">D586</f>
        <v>150</v>
      </c>
      <c r="E585" s="304">
        <f t="shared" si="401"/>
        <v>0</v>
      </c>
      <c r="F585" s="305">
        <f t="shared" si="401"/>
        <v>0</v>
      </c>
      <c r="G585" s="303">
        <f t="shared" si="401"/>
        <v>0</v>
      </c>
      <c r="H585" s="304">
        <f t="shared" si="401"/>
        <v>0</v>
      </c>
      <c r="I585" s="327">
        <f t="shared" si="401"/>
        <v>150</v>
      </c>
      <c r="J585" s="303">
        <f t="shared" si="401"/>
        <v>0</v>
      </c>
      <c r="K585" s="304">
        <f t="shared" si="401"/>
        <v>0</v>
      </c>
      <c r="L585" s="305">
        <f t="shared" si="401"/>
        <v>150</v>
      </c>
      <c r="M585" s="328" t="s">
        <v>291</v>
      </c>
    </row>
    <row r="586" s="263" customFormat="1" ht="18.75" customHeight="1" spans="1:13">
      <c r="A586" s="306" t="s">
        <v>298</v>
      </c>
      <c r="B586" s="307" t="s">
        <v>298</v>
      </c>
      <c r="C586" s="308" t="s">
        <v>556</v>
      </c>
      <c r="D586" s="309">
        <f t="shared" si="400"/>
        <v>150</v>
      </c>
      <c r="E586" s="310">
        <f t="shared" si="397"/>
        <v>0</v>
      </c>
      <c r="F586" s="311">
        <v>0</v>
      </c>
      <c r="G586" s="309">
        <v>0</v>
      </c>
      <c r="H586" s="310">
        <v>0</v>
      </c>
      <c r="I586" s="329">
        <f t="shared" si="398"/>
        <v>150</v>
      </c>
      <c r="J586" s="309">
        <v>0</v>
      </c>
      <c r="K586" s="310">
        <v>0</v>
      </c>
      <c r="L586" s="311">
        <v>150</v>
      </c>
      <c r="M586" s="330" t="s">
        <v>993</v>
      </c>
    </row>
    <row r="587" s="263" customFormat="1" ht="18.75" customHeight="1" spans="1:13">
      <c r="A587" s="294" t="s">
        <v>994</v>
      </c>
      <c r="B587" s="295" t="s">
        <v>995</v>
      </c>
      <c r="C587" s="296"/>
      <c r="D587" s="297">
        <f t="shared" ref="D587:L587" si="402">D588+D590</f>
        <v>1090.1064</v>
      </c>
      <c r="E587" s="298">
        <f t="shared" si="402"/>
        <v>0</v>
      </c>
      <c r="F587" s="299">
        <f t="shared" si="402"/>
        <v>0</v>
      </c>
      <c r="G587" s="297">
        <f t="shared" si="402"/>
        <v>0</v>
      </c>
      <c r="H587" s="298">
        <f t="shared" si="402"/>
        <v>0</v>
      </c>
      <c r="I587" s="325">
        <f t="shared" si="402"/>
        <v>1090.1064</v>
      </c>
      <c r="J587" s="297">
        <f t="shared" si="402"/>
        <v>473.1964</v>
      </c>
      <c r="K587" s="298">
        <f t="shared" si="402"/>
        <v>0</v>
      </c>
      <c r="L587" s="299">
        <f t="shared" si="402"/>
        <v>616.91</v>
      </c>
      <c r="M587" s="326" t="s">
        <v>291</v>
      </c>
    </row>
    <row r="588" s="263" customFormat="1" ht="22" customHeight="1" spans="1:13">
      <c r="A588" s="300" t="s">
        <v>996</v>
      </c>
      <c r="B588" s="301" t="s">
        <v>997</v>
      </c>
      <c r="C588" s="302"/>
      <c r="D588" s="303">
        <f t="shared" ref="D588:L588" si="403">D589</f>
        <v>629.4564</v>
      </c>
      <c r="E588" s="304">
        <f t="shared" si="403"/>
        <v>0</v>
      </c>
      <c r="F588" s="305">
        <f t="shared" si="403"/>
        <v>0</v>
      </c>
      <c r="G588" s="303">
        <f t="shared" si="403"/>
        <v>0</v>
      </c>
      <c r="H588" s="304">
        <f t="shared" si="403"/>
        <v>0</v>
      </c>
      <c r="I588" s="327">
        <f t="shared" si="403"/>
        <v>629.4564</v>
      </c>
      <c r="J588" s="303">
        <f t="shared" si="403"/>
        <v>12.5464</v>
      </c>
      <c r="K588" s="304">
        <f t="shared" si="403"/>
        <v>0</v>
      </c>
      <c r="L588" s="305">
        <f t="shared" si="403"/>
        <v>616.91</v>
      </c>
      <c r="M588" s="328" t="s">
        <v>291</v>
      </c>
    </row>
    <row r="589" s="263" customFormat="1" ht="36" customHeight="1" spans="1:13">
      <c r="A589" s="306" t="s">
        <v>298</v>
      </c>
      <c r="B589" s="307" t="s">
        <v>298</v>
      </c>
      <c r="C589" s="308" t="s">
        <v>558</v>
      </c>
      <c r="D589" s="309">
        <f t="shared" si="400"/>
        <v>629.4564</v>
      </c>
      <c r="E589" s="310">
        <f t="shared" ref="E589:E594" si="404">SUBTOTAL(9,F589:H589)</f>
        <v>0</v>
      </c>
      <c r="F589" s="311">
        <v>0</v>
      </c>
      <c r="G589" s="309">
        <v>0</v>
      </c>
      <c r="H589" s="310">
        <v>0</v>
      </c>
      <c r="I589" s="329">
        <f t="shared" ref="I589:I594" si="405">SUBTOTAL(9,J589:L589)</f>
        <v>629.4564</v>
      </c>
      <c r="J589" s="309">
        <v>12.5464</v>
      </c>
      <c r="K589" s="310">
        <v>0</v>
      </c>
      <c r="L589" s="311">
        <v>616.91</v>
      </c>
      <c r="M589" s="330" t="s">
        <v>998</v>
      </c>
    </row>
    <row r="590" s="263" customFormat="1" ht="22" customHeight="1" spans="1:13">
      <c r="A590" s="300" t="s">
        <v>999</v>
      </c>
      <c r="B590" s="301" t="s">
        <v>1000</v>
      </c>
      <c r="C590" s="302"/>
      <c r="D590" s="303">
        <f t="shared" ref="D590:L590" si="406">D591</f>
        <v>460.65</v>
      </c>
      <c r="E590" s="304">
        <f t="shared" si="406"/>
        <v>0</v>
      </c>
      <c r="F590" s="305">
        <f t="shared" si="406"/>
        <v>0</v>
      </c>
      <c r="G590" s="303">
        <f t="shared" si="406"/>
        <v>0</v>
      </c>
      <c r="H590" s="304">
        <f t="shared" si="406"/>
        <v>0</v>
      </c>
      <c r="I590" s="327">
        <f t="shared" si="406"/>
        <v>460.65</v>
      </c>
      <c r="J590" s="303">
        <f t="shared" si="406"/>
        <v>460.65</v>
      </c>
      <c r="K590" s="304">
        <f t="shared" si="406"/>
        <v>0</v>
      </c>
      <c r="L590" s="305">
        <f t="shared" si="406"/>
        <v>0</v>
      </c>
      <c r="M590" s="328" t="s">
        <v>291</v>
      </c>
    </row>
    <row r="591" s="263" customFormat="1" ht="18.75" customHeight="1" spans="1:13">
      <c r="A591" s="306" t="s">
        <v>298</v>
      </c>
      <c r="B591" s="307" t="s">
        <v>298</v>
      </c>
      <c r="C591" s="308" t="s">
        <v>558</v>
      </c>
      <c r="D591" s="309">
        <f t="shared" ref="D591:D596" si="407">E591+I591</f>
        <v>460.65</v>
      </c>
      <c r="E591" s="310">
        <f t="shared" si="404"/>
        <v>0</v>
      </c>
      <c r="F591" s="311">
        <v>0</v>
      </c>
      <c r="G591" s="309">
        <v>0</v>
      </c>
      <c r="H591" s="310">
        <v>0</v>
      </c>
      <c r="I591" s="329">
        <f t="shared" si="405"/>
        <v>460.65</v>
      </c>
      <c r="J591" s="309">
        <v>460.65</v>
      </c>
      <c r="K591" s="310">
        <v>0</v>
      </c>
      <c r="L591" s="311">
        <v>0</v>
      </c>
      <c r="M591" s="330" t="s">
        <v>1001</v>
      </c>
    </row>
    <row r="592" s="263" customFormat="1" ht="18.75" customHeight="1" spans="1:13">
      <c r="A592" s="294" t="s">
        <v>1002</v>
      </c>
      <c r="B592" s="295" t="s">
        <v>1003</v>
      </c>
      <c r="C592" s="296"/>
      <c r="D592" s="297">
        <f t="shared" ref="D592:L592" si="408">D593+D595+D597+D599+D601+D603</f>
        <v>147.82</v>
      </c>
      <c r="E592" s="298">
        <f t="shared" si="408"/>
        <v>0</v>
      </c>
      <c r="F592" s="299">
        <f t="shared" si="408"/>
        <v>0</v>
      </c>
      <c r="G592" s="297">
        <f t="shared" si="408"/>
        <v>0</v>
      </c>
      <c r="H592" s="298">
        <f t="shared" si="408"/>
        <v>0</v>
      </c>
      <c r="I592" s="325">
        <f t="shared" si="408"/>
        <v>147.82</v>
      </c>
      <c r="J592" s="297">
        <f t="shared" si="408"/>
        <v>35.82</v>
      </c>
      <c r="K592" s="298">
        <f t="shared" si="408"/>
        <v>0</v>
      </c>
      <c r="L592" s="299">
        <f t="shared" si="408"/>
        <v>112</v>
      </c>
      <c r="M592" s="326" t="s">
        <v>291</v>
      </c>
    </row>
    <row r="593" s="263" customFormat="1" ht="22" customHeight="1" spans="1:13">
      <c r="A593" s="300" t="s">
        <v>1004</v>
      </c>
      <c r="B593" s="301" t="s">
        <v>1005</v>
      </c>
      <c r="C593" s="302"/>
      <c r="D593" s="303">
        <f t="shared" ref="D593:L593" si="409">D594</f>
        <v>89.82</v>
      </c>
      <c r="E593" s="304">
        <f t="shared" si="409"/>
        <v>0</v>
      </c>
      <c r="F593" s="305">
        <f t="shared" si="409"/>
        <v>0</v>
      </c>
      <c r="G593" s="303">
        <f t="shared" si="409"/>
        <v>0</v>
      </c>
      <c r="H593" s="304">
        <f t="shared" si="409"/>
        <v>0</v>
      </c>
      <c r="I593" s="327">
        <f t="shared" si="409"/>
        <v>89.82</v>
      </c>
      <c r="J593" s="303">
        <f t="shared" si="409"/>
        <v>17.82</v>
      </c>
      <c r="K593" s="304">
        <f t="shared" si="409"/>
        <v>0</v>
      </c>
      <c r="L593" s="305">
        <f t="shared" si="409"/>
        <v>72</v>
      </c>
      <c r="M593" s="328" t="s">
        <v>291</v>
      </c>
    </row>
    <row r="594" s="263" customFormat="1" ht="36" customHeight="1" spans="1:13">
      <c r="A594" s="306" t="s">
        <v>298</v>
      </c>
      <c r="B594" s="307" t="s">
        <v>298</v>
      </c>
      <c r="C594" s="308" t="s">
        <v>558</v>
      </c>
      <c r="D594" s="309">
        <f t="shared" si="407"/>
        <v>89.82</v>
      </c>
      <c r="E594" s="310">
        <f t="shared" si="404"/>
        <v>0</v>
      </c>
      <c r="F594" s="311">
        <v>0</v>
      </c>
      <c r="G594" s="309">
        <v>0</v>
      </c>
      <c r="H594" s="310">
        <v>0</v>
      </c>
      <c r="I594" s="329">
        <f t="shared" si="405"/>
        <v>89.82</v>
      </c>
      <c r="J594" s="309">
        <v>17.82</v>
      </c>
      <c r="K594" s="310">
        <v>0</v>
      </c>
      <c r="L594" s="311">
        <v>72</v>
      </c>
      <c r="M594" s="330" t="s">
        <v>1006</v>
      </c>
    </row>
    <row r="595" s="263" customFormat="1" ht="22" customHeight="1" spans="1:13">
      <c r="A595" s="300" t="s">
        <v>1007</v>
      </c>
      <c r="B595" s="301" t="s">
        <v>1008</v>
      </c>
      <c r="C595" s="302"/>
      <c r="D595" s="303">
        <f t="shared" ref="D595:L595" si="410">D596</f>
        <v>15</v>
      </c>
      <c r="E595" s="304">
        <f t="shared" si="410"/>
        <v>0</v>
      </c>
      <c r="F595" s="305">
        <f t="shared" si="410"/>
        <v>0</v>
      </c>
      <c r="G595" s="303">
        <f t="shared" si="410"/>
        <v>0</v>
      </c>
      <c r="H595" s="304">
        <f t="shared" si="410"/>
        <v>0</v>
      </c>
      <c r="I595" s="327">
        <f t="shared" si="410"/>
        <v>15</v>
      </c>
      <c r="J595" s="303">
        <f t="shared" si="410"/>
        <v>0</v>
      </c>
      <c r="K595" s="304">
        <f t="shared" si="410"/>
        <v>0</v>
      </c>
      <c r="L595" s="305">
        <f t="shared" si="410"/>
        <v>15</v>
      </c>
      <c r="M595" s="328" t="s">
        <v>291</v>
      </c>
    </row>
    <row r="596" s="263" customFormat="1" ht="23" customHeight="1" spans="1:13">
      <c r="A596" s="306" t="s">
        <v>298</v>
      </c>
      <c r="B596" s="307" t="s">
        <v>298</v>
      </c>
      <c r="C596" s="308" t="s">
        <v>558</v>
      </c>
      <c r="D596" s="309">
        <f t="shared" si="407"/>
        <v>15</v>
      </c>
      <c r="E596" s="310">
        <f t="shared" ref="E596:E600" si="411">SUBTOTAL(9,F596:H596)</f>
        <v>0</v>
      </c>
      <c r="F596" s="311">
        <v>0</v>
      </c>
      <c r="G596" s="309">
        <v>0</v>
      </c>
      <c r="H596" s="310">
        <v>0</v>
      </c>
      <c r="I596" s="329">
        <f t="shared" ref="I596:I600" si="412">SUBTOTAL(9,J596:L596)</f>
        <v>15</v>
      </c>
      <c r="J596" s="309">
        <v>0</v>
      </c>
      <c r="K596" s="310">
        <v>0</v>
      </c>
      <c r="L596" s="311">
        <v>15</v>
      </c>
      <c r="M596" s="330" t="s">
        <v>1009</v>
      </c>
    </row>
    <row r="597" s="263" customFormat="1" ht="22" customHeight="1" spans="1:13">
      <c r="A597" s="300" t="s">
        <v>1010</v>
      </c>
      <c r="B597" s="301" t="s">
        <v>1011</v>
      </c>
      <c r="C597" s="302"/>
      <c r="D597" s="303">
        <f t="shared" ref="D597:L597" si="413">D598</f>
        <v>4</v>
      </c>
      <c r="E597" s="304">
        <f t="shared" si="413"/>
        <v>0</v>
      </c>
      <c r="F597" s="305">
        <f t="shared" si="413"/>
        <v>0</v>
      </c>
      <c r="G597" s="303">
        <f t="shared" si="413"/>
        <v>0</v>
      </c>
      <c r="H597" s="304">
        <f t="shared" si="413"/>
        <v>0</v>
      </c>
      <c r="I597" s="327">
        <f t="shared" si="413"/>
        <v>4</v>
      </c>
      <c r="J597" s="303">
        <f t="shared" si="413"/>
        <v>0</v>
      </c>
      <c r="K597" s="304">
        <f t="shared" si="413"/>
        <v>0</v>
      </c>
      <c r="L597" s="305">
        <f t="shared" si="413"/>
        <v>4</v>
      </c>
      <c r="M597" s="328" t="s">
        <v>291</v>
      </c>
    </row>
    <row r="598" s="263" customFormat="1" ht="22" customHeight="1" spans="1:13">
      <c r="A598" s="306" t="s">
        <v>298</v>
      </c>
      <c r="B598" s="307" t="s">
        <v>298</v>
      </c>
      <c r="C598" s="308" t="s">
        <v>558</v>
      </c>
      <c r="D598" s="309">
        <f t="shared" ref="D598:D602" si="414">E598+I598</f>
        <v>4</v>
      </c>
      <c r="E598" s="310">
        <f t="shared" si="411"/>
        <v>0</v>
      </c>
      <c r="F598" s="311">
        <v>0</v>
      </c>
      <c r="G598" s="309">
        <v>0</v>
      </c>
      <c r="H598" s="310">
        <v>0</v>
      </c>
      <c r="I598" s="329">
        <f t="shared" si="412"/>
        <v>4</v>
      </c>
      <c r="J598" s="309">
        <v>0</v>
      </c>
      <c r="K598" s="310">
        <v>0</v>
      </c>
      <c r="L598" s="311">
        <v>4</v>
      </c>
      <c r="M598" s="330" t="s">
        <v>1012</v>
      </c>
    </row>
    <row r="599" s="263" customFormat="1" ht="22" customHeight="1" spans="1:13">
      <c r="A599" s="300" t="s">
        <v>1013</v>
      </c>
      <c r="B599" s="301" t="s">
        <v>1014</v>
      </c>
      <c r="C599" s="302"/>
      <c r="D599" s="303">
        <f t="shared" ref="D599:L599" si="415">D600</f>
        <v>1</v>
      </c>
      <c r="E599" s="304">
        <f t="shared" si="415"/>
        <v>0</v>
      </c>
      <c r="F599" s="305">
        <f t="shared" si="415"/>
        <v>0</v>
      </c>
      <c r="G599" s="303">
        <f t="shared" si="415"/>
        <v>0</v>
      </c>
      <c r="H599" s="304">
        <f t="shared" si="415"/>
        <v>0</v>
      </c>
      <c r="I599" s="327">
        <f t="shared" si="415"/>
        <v>1</v>
      </c>
      <c r="J599" s="303">
        <f t="shared" si="415"/>
        <v>0</v>
      </c>
      <c r="K599" s="304">
        <f t="shared" si="415"/>
        <v>0</v>
      </c>
      <c r="L599" s="305">
        <f t="shared" si="415"/>
        <v>1</v>
      </c>
      <c r="M599" s="328" t="s">
        <v>291</v>
      </c>
    </row>
    <row r="600" s="263" customFormat="1" ht="18.75" customHeight="1" spans="1:13">
      <c r="A600" s="306" t="s">
        <v>298</v>
      </c>
      <c r="B600" s="307" t="s">
        <v>298</v>
      </c>
      <c r="C600" s="308" t="s">
        <v>558</v>
      </c>
      <c r="D600" s="309">
        <f t="shared" si="414"/>
        <v>1</v>
      </c>
      <c r="E600" s="310">
        <f t="shared" si="411"/>
        <v>0</v>
      </c>
      <c r="F600" s="311">
        <v>0</v>
      </c>
      <c r="G600" s="309">
        <v>0</v>
      </c>
      <c r="H600" s="310">
        <v>0</v>
      </c>
      <c r="I600" s="329">
        <f t="shared" si="412"/>
        <v>1</v>
      </c>
      <c r="J600" s="309">
        <v>0</v>
      </c>
      <c r="K600" s="310">
        <v>0</v>
      </c>
      <c r="L600" s="311">
        <v>1</v>
      </c>
      <c r="M600" s="330" t="s">
        <v>1015</v>
      </c>
    </row>
    <row r="601" s="263" customFormat="1" ht="22" customHeight="1" spans="1:13">
      <c r="A601" s="300" t="s">
        <v>1016</v>
      </c>
      <c r="B601" s="301" t="s">
        <v>1017</v>
      </c>
      <c r="C601" s="302"/>
      <c r="D601" s="303">
        <f t="shared" ref="D601:L601" si="416">D602</f>
        <v>32</v>
      </c>
      <c r="E601" s="304">
        <f t="shared" si="416"/>
        <v>0</v>
      </c>
      <c r="F601" s="305">
        <f t="shared" si="416"/>
        <v>0</v>
      </c>
      <c r="G601" s="303">
        <f t="shared" si="416"/>
        <v>0</v>
      </c>
      <c r="H601" s="304">
        <f t="shared" si="416"/>
        <v>0</v>
      </c>
      <c r="I601" s="327">
        <f t="shared" si="416"/>
        <v>32</v>
      </c>
      <c r="J601" s="303">
        <f t="shared" si="416"/>
        <v>12</v>
      </c>
      <c r="K601" s="304">
        <f t="shared" si="416"/>
        <v>0</v>
      </c>
      <c r="L601" s="305">
        <f t="shared" si="416"/>
        <v>20</v>
      </c>
      <c r="M601" s="328" t="s">
        <v>291</v>
      </c>
    </row>
    <row r="602" s="263" customFormat="1" ht="45" customHeight="1" spans="1:13">
      <c r="A602" s="306" t="s">
        <v>298</v>
      </c>
      <c r="B602" s="307" t="s">
        <v>298</v>
      </c>
      <c r="C602" s="308" t="s">
        <v>558</v>
      </c>
      <c r="D602" s="309">
        <f t="shared" si="414"/>
        <v>32</v>
      </c>
      <c r="E602" s="310">
        <f t="shared" ref="E602:E607" si="417">SUBTOTAL(9,F602:H602)</f>
        <v>0</v>
      </c>
      <c r="F602" s="311">
        <v>0</v>
      </c>
      <c r="G602" s="309">
        <v>0</v>
      </c>
      <c r="H602" s="310">
        <v>0</v>
      </c>
      <c r="I602" s="329">
        <f t="shared" ref="I602:I607" si="418">SUBTOTAL(9,J602:L602)</f>
        <v>32</v>
      </c>
      <c r="J602" s="309">
        <v>12</v>
      </c>
      <c r="K602" s="310">
        <v>0</v>
      </c>
      <c r="L602" s="311">
        <v>20</v>
      </c>
      <c r="M602" s="330" t="s">
        <v>1018</v>
      </c>
    </row>
    <row r="603" s="263" customFormat="1" ht="22" customHeight="1" spans="1:13">
      <c r="A603" s="300" t="s">
        <v>1019</v>
      </c>
      <c r="B603" s="301" t="s">
        <v>1020</v>
      </c>
      <c r="C603" s="302"/>
      <c r="D603" s="303">
        <f t="shared" ref="D603:L603" si="419">D604</f>
        <v>6</v>
      </c>
      <c r="E603" s="304">
        <f t="shared" si="419"/>
        <v>0</v>
      </c>
      <c r="F603" s="305">
        <f t="shared" si="419"/>
        <v>0</v>
      </c>
      <c r="G603" s="303">
        <f t="shared" si="419"/>
        <v>0</v>
      </c>
      <c r="H603" s="304">
        <f t="shared" si="419"/>
        <v>0</v>
      </c>
      <c r="I603" s="327">
        <f t="shared" si="419"/>
        <v>6</v>
      </c>
      <c r="J603" s="303">
        <f t="shared" si="419"/>
        <v>6</v>
      </c>
      <c r="K603" s="304">
        <f t="shared" si="419"/>
        <v>0</v>
      </c>
      <c r="L603" s="305">
        <f t="shared" si="419"/>
        <v>0</v>
      </c>
      <c r="M603" s="328" t="s">
        <v>291</v>
      </c>
    </row>
    <row r="604" s="263" customFormat="1" ht="25" customHeight="1" spans="1:13">
      <c r="A604" s="306" t="s">
        <v>298</v>
      </c>
      <c r="B604" s="307" t="s">
        <v>298</v>
      </c>
      <c r="C604" s="308" t="s">
        <v>558</v>
      </c>
      <c r="D604" s="309">
        <f t="shared" ref="D604:D609" si="420">E604+I604</f>
        <v>6</v>
      </c>
      <c r="E604" s="310">
        <f t="shared" si="417"/>
        <v>0</v>
      </c>
      <c r="F604" s="311">
        <v>0</v>
      </c>
      <c r="G604" s="309">
        <v>0</v>
      </c>
      <c r="H604" s="310">
        <v>0</v>
      </c>
      <c r="I604" s="329">
        <f t="shared" si="418"/>
        <v>6</v>
      </c>
      <c r="J604" s="309">
        <v>6</v>
      </c>
      <c r="K604" s="310">
        <v>0</v>
      </c>
      <c r="L604" s="311">
        <v>0</v>
      </c>
      <c r="M604" s="330" t="s">
        <v>1021</v>
      </c>
    </row>
    <row r="605" s="263" customFormat="1" ht="18.75" customHeight="1" spans="1:13">
      <c r="A605" s="294" t="s">
        <v>1022</v>
      </c>
      <c r="B605" s="295" t="s">
        <v>1023</v>
      </c>
      <c r="C605" s="296"/>
      <c r="D605" s="297">
        <f t="shared" ref="D605:L605" si="421">D606+D608</f>
        <v>913.67</v>
      </c>
      <c r="E605" s="298">
        <f t="shared" si="421"/>
        <v>898</v>
      </c>
      <c r="F605" s="299">
        <f t="shared" si="421"/>
        <v>0</v>
      </c>
      <c r="G605" s="297">
        <f t="shared" si="421"/>
        <v>0</v>
      </c>
      <c r="H605" s="298">
        <f t="shared" si="421"/>
        <v>898</v>
      </c>
      <c r="I605" s="325">
        <f t="shared" si="421"/>
        <v>15.67</v>
      </c>
      <c r="J605" s="297">
        <f t="shared" si="421"/>
        <v>15.67</v>
      </c>
      <c r="K605" s="298">
        <f t="shared" si="421"/>
        <v>0</v>
      </c>
      <c r="L605" s="299">
        <f t="shared" si="421"/>
        <v>0</v>
      </c>
      <c r="M605" s="326" t="s">
        <v>291</v>
      </c>
    </row>
    <row r="606" s="263" customFormat="1" ht="22" customHeight="1" spans="1:13">
      <c r="A606" s="300" t="s">
        <v>1024</v>
      </c>
      <c r="B606" s="301" t="s">
        <v>1025</v>
      </c>
      <c r="C606" s="302"/>
      <c r="D606" s="303">
        <f t="shared" ref="D606:L606" si="422">D607</f>
        <v>15.67</v>
      </c>
      <c r="E606" s="304">
        <f t="shared" si="422"/>
        <v>0</v>
      </c>
      <c r="F606" s="305">
        <f t="shared" si="422"/>
        <v>0</v>
      </c>
      <c r="G606" s="303">
        <f t="shared" si="422"/>
        <v>0</v>
      </c>
      <c r="H606" s="304">
        <f t="shared" si="422"/>
        <v>0</v>
      </c>
      <c r="I606" s="327">
        <f t="shared" si="422"/>
        <v>15.67</v>
      </c>
      <c r="J606" s="303">
        <f t="shared" si="422"/>
        <v>15.67</v>
      </c>
      <c r="K606" s="304">
        <f t="shared" si="422"/>
        <v>0</v>
      </c>
      <c r="L606" s="305">
        <f t="shared" si="422"/>
        <v>0</v>
      </c>
      <c r="M606" s="328" t="s">
        <v>291</v>
      </c>
    </row>
    <row r="607" s="263" customFormat="1" ht="37" customHeight="1" spans="1:13">
      <c r="A607" s="306" t="s">
        <v>298</v>
      </c>
      <c r="B607" s="307" t="s">
        <v>298</v>
      </c>
      <c r="C607" s="308" t="s">
        <v>554</v>
      </c>
      <c r="D607" s="309">
        <f t="shared" si="420"/>
        <v>15.67</v>
      </c>
      <c r="E607" s="310">
        <f t="shared" si="417"/>
        <v>0</v>
      </c>
      <c r="F607" s="311">
        <v>0</v>
      </c>
      <c r="G607" s="309">
        <v>0</v>
      </c>
      <c r="H607" s="310">
        <v>0</v>
      </c>
      <c r="I607" s="329">
        <f t="shared" si="418"/>
        <v>15.67</v>
      </c>
      <c r="J607" s="309">
        <v>15.67</v>
      </c>
      <c r="K607" s="310">
        <v>0</v>
      </c>
      <c r="L607" s="311">
        <v>0</v>
      </c>
      <c r="M607" s="330" t="s">
        <v>1026</v>
      </c>
    </row>
    <row r="608" s="263" customFormat="1" ht="22" customHeight="1" spans="1:13">
      <c r="A608" s="300" t="s">
        <v>1027</v>
      </c>
      <c r="B608" s="301" t="s">
        <v>1028</v>
      </c>
      <c r="C608" s="302"/>
      <c r="D608" s="303">
        <f t="shared" ref="D608:L608" si="423">D609</f>
        <v>898</v>
      </c>
      <c r="E608" s="304">
        <f t="shared" si="423"/>
        <v>898</v>
      </c>
      <c r="F608" s="305">
        <f t="shared" si="423"/>
        <v>0</v>
      </c>
      <c r="G608" s="303">
        <f t="shared" si="423"/>
        <v>0</v>
      </c>
      <c r="H608" s="304">
        <f t="shared" si="423"/>
        <v>898</v>
      </c>
      <c r="I608" s="327">
        <f t="shared" si="423"/>
        <v>0</v>
      </c>
      <c r="J608" s="303">
        <f t="shared" si="423"/>
        <v>0</v>
      </c>
      <c r="K608" s="304">
        <f t="shared" si="423"/>
        <v>0</v>
      </c>
      <c r="L608" s="305">
        <f t="shared" si="423"/>
        <v>0</v>
      </c>
      <c r="M608" s="328" t="s">
        <v>291</v>
      </c>
    </row>
    <row r="609" s="263" customFormat="1" ht="18.75" customHeight="1" spans="1:13">
      <c r="A609" s="306" t="s">
        <v>298</v>
      </c>
      <c r="B609" s="307" t="s">
        <v>298</v>
      </c>
      <c r="C609" s="308" t="s">
        <v>554</v>
      </c>
      <c r="D609" s="309">
        <f t="shared" si="420"/>
        <v>898</v>
      </c>
      <c r="E609" s="310">
        <f t="shared" ref="E609:E614" si="424">SUBTOTAL(9,F609:H609)</f>
        <v>898</v>
      </c>
      <c r="F609" s="311">
        <v>0</v>
      </c>
      <c r="G609" s="309">
        <v>0</v>
      </c>
      <c r="H609" s="310">
        <v>898</v>
      </c>
      <c r="I609" s="329">
        <f t="shared" ref="I609:I614" si="425">SUBTOTAL(9,J609:L609)</f>
        <v>0</v>
      </c>
      <c r="J609" s="309">
        <v>0</v>
      </c>
      <c r="K609" s="310">
        <v>0</v>
      </c>
      <c r="L609" s="311">
        <v>0</v>
      </c>
      <c r="M609" s="330" t="s">
        <v>291</v>
      </c>
    </row>
    <row r="610" s="263" customFormat="1" ht="18.75" customHeight="1" spans="1:13">
      <c r="A610" s="294" t="s">
        <v>1029</v>
      </c>
      <c r="B610" s="295" t="s">
        <v>1030</v>
      </c>
      <c r="C610" s="296"/>
      <c r="D610" s="297">
        <f t="shared" ref="D610:L610" si="426">D611+D613+D615+D617+D619</f>
        <v>1543.9634</v>
      </c>
      <c r="E610" s="298">
        <f t="shared" si="426"/>
        <v>103.2434</v>
      </c>
      <c r="F610" s="299">
        <f t="shared" si="426"/>
        <v>89.8442</v>
      </c>
      <c r="G610" s="297">
        <f t="shared" si="426"/>
        <v>9.1992</v>
      </c>
      <c r="H610" s="298">
        <f t="shared" si="426"/>
        <v>4.2</v>
      </c>
      <c r="I610" s="325">
        <f t="shared" si="426"/>
        <v>1440.72</v>
      </c>
      <c r="J610" s="297">
        <f t="shared" si="426"/>
        <v>220.82</v>
      </c>
      <c r="K610" s="298">
        <f t="shared" si="426"/>
        <v>0</v>
      </c>
      <c r="L610" s="299">
        <f t="shared" si="426"/>
        <v>1219.9</v>
      </c>
      <c r="M610" s="326" t="s">
        <v>291</v>
      </c>
    </row>
    <row r="611" s="263" customFormat="1" ht="22" customHeight="1" spans="1:13">
      <c r="A611" s="300" t="s">
        <v>1031</v>
      </c>
      <c r="B611" s="301" t="s">
        <v>1032</v>
      </c>
      <c r="C611" s="302"/>
      <c r="D611" s="303">
        <f t="shared" ref="D611:L611" si="427">D612</f>
        <v>103.3934</v>
      </c>
      <c r="E611" s="304">
        <f t="shared" si="427"/>
        <v>103.2434</v>
      </c>
      <c r="F611" s="305">
        <f t="shared" si="427"/>
        <v>89.8442</v>
      </c>
      <c r="G611" s="303">
        <f t="shared" si="427"/>
        <v>9.1992</v>
      </c>
      <c r="H611" s="304">
        <f t="shared" si="427"/>
        <v>4.2</v>
      </c>
      <c r="I611" s="327">
        <f t="shared" si="427"/>
        <v>0.15</v>
      </c>
      <c r="J611" s="303">
        <f t="shared" si="427"/>
        <v>0.15</v>
      </c>
      <c r="K611" s="304">
        <f t="shared" si="427"/>
        <v>0</v>
      </c>
      <c r="L611" s="305">
        <f t="shared" si="427"/>
        <v>0</v>
      </c>
      <c r="M611" s="328" t="s">
        <v>291</v>
      </c>
    </row>
    <row r="612" s="263" customFormat="1" ht="18.75" customHeight="1" spans="1:13">
      <c r="A612" s="306" t="s">
        <v>298</v>
      </c>
      <c r="B612" s="307" t="s">
        <v>298</v>
      </c>
      <c r="C612" s="308" t="s">
        <v>557</v>
      </c>
      <c r="D612" s="309">
        <f t="shared" ref="D612:D616" si="428">E612+I612</f>
        <v>103.3934</v>
      </c>
      <c r="E612" s="310">
        <f t="shared" si="424"/>
        <v>103.2434</v>
      </c>
      <c r="F612" s="311">
        <v>89.8442</v>
      </c>
      <c r="G612" s="309">
        <v>9.1992</v>
      </c>
      <c r="H612" s="310">
        <v>4.2</v>
      </c>
      <c r="I612" s="329">
        <f t="shared" si="425"/>
        <v>0.15</v>
      </c>
      <c r="J612" s="309">
        <v>0.15</v>
      </c>
      <c r="K612" s="310">
        <v>0</v>
      </c>
      <c r="L612" s="311">
        <v>0</v>
      </c>
      <c r="M612" s="330" t="s">
        <v>1033</v>
      </c>
    </row>
    <row r="613" s="263" customFormat="1" ht="22" customHeight="1" spans="1:13">
      <c r="A613" s="300" t="s">
        <v>1034</v>
      </c>
      <c r="B613" s="301" t="s">
        <v>1035</v>
      </c>
      <c r="C613" s="302"/>
      <c r="D613" s="303">
        <f t="shared" ref="D613:L613" si="429">D614</f>
        <v>73.45</v>
      </c>
      <c r="E613" s="304">
        <f t="shared" si="429"/>
        <v>0</v>
      </c>
      <c r="F613" s="305">
        <f t="shared" si="429"/>
        <v>0</v>
      </c>
      <c r="G613" s="303">
        <f t="shared" si="429"/>
        <v>0</v>
      </c>
      <c r="H613" s="304">
        <f t="shared" si="429"/>
        <v>0</v>
      </c>
      <c r="I613" s="327">
        <f t="shared" si="429"/>
        <v>73.45</v>
      </c>
      <c r="J613" s="303">
        <f t="shared" si="429"/>
        <v>64.8</v>
      </c>
      <c r="K613" s="304">
        <f t="shared" si="429"/>
        <v>0</v>
      </c>
      <c r="L613" s="305">
        <f t="shared" si="429"/>
        <v>8.65</v>
      </c>
      <c r="M613" s="328" t="s">
        <v>291</v>
      </c>
    </row>
    <row r="614" s="263" customFormat="1" ht="33" customHeight="1" spans="1:13">
      <c r="A614" s="306" t="s">
        <v>298</v>
      </c>
      <c r="B614" s="307" t="s">
        <v>298</v>
      </c>
      <c r="C614" s="308" t="s">
        <v>557</v>
      </c>
      <c r="D614" s="309">
        <f t="shared" si="428"/>
        <v>73.45</v>
      </c>
      <c r="E614" s="310">
        <f t="shared" si="424"/>
        <v>0</v>
      </c>
      <c r="F614" s="311">
        <v>0</v>
      </c>
      <c r="G614" s="309">
        <v>0</v>
      </c>
      <c r="H614" s="310">
        <v>0</v>
      </c>
      <c r="I614" s="329">
        <f t="shared" si="425"/>
        <v>73.45</v>
      </c>
      <c r="J614" s="309">
        <v>64.8</v>
      </c>
      <c r="K614" s="310">
        <v>0</v>
      </c>
      <c r="L614" s="311">
        <v>8.65</v>
      </c>
      <c r="M614" s="330" t="s">
        <v>1036</v>
      </c>
    </row>
    <row r="615" s="263" customFormat="1" ht="22" customHeight="1" spans="1:13">
      <c r="A615" s="300" t="s">
        <v>1037</v>
      </c>
      <c r="B615" s="301" t="s">
        <v>1038</v>
      </c>
      <c r="C615" s="302"/>
      <c r="D615" s="303">
        <f t="shared" ref="D615:L615" si="430">D616</f>
        <v>58.52</v>
      </c>
      <c r="E615" s="304">
        <f t="shared" si="430"/>
        <v>0</v>
      </c>
      <c r="F615" s="305">
        <f t="shared" si="430"/>
        <v>0</v>
      </c>
      <c r="G615" s="303">
        <f t="shared" si="430"/>
        <v>0</v>
      </c>
      <c r="H615" s="304">
        <f t="shared" si="430"/>
        <v>0</v>
      </c>
      <c r="I615" s="327">
        <f t="shared" si="430"/>
        <v>58.52</v>
      </c>
      <c r="J615" s="303">
        <f t="shared" si="430"/>
        <v>47.27</v>
      </c>
      <c r="K615" s="304">
        <f t="shared" si="430"/>
        <v>0</v>
      </c>
      <c r="L615" s="305">
        <f t="shared" si="430"/>
        <v>11.25</v>
      </c>
      <c r="M615" s="328" t="s">
        <v>291</v>
      </c>
    </row>
    <row r="616" s="263" customFormat="1" ht="101" customHeight="1" spans="1:13">
      <c r="A616" s="306" t="s">
        <v>298</v>
      </c>
      <c r="B616" s="307" t="s">
        <v>298</v>
      </c>
      <c r="C616" s="308" t="s">
        <v>557</v>
      </c>
      <c r="D616" s="309">
        <f t="shared" si="428"/>
        <v>58.52</v>
      </c>
      <c r="E616" s="310">
        <f t="shared" ref="E616:E620" si="431">SUBTOTAL(9,F616:H616)</f>
        <v>0</v>
      </c>
      <c r="F616" s="311">
        <v>0</v>
      </c>
      <c r="G616" s="309">
        <v>0</v>
      </c>
      <c r="H616" s="310">
        <v>0</v>
      </c>
      <c r="I616" s="329">
        <f t="shared" ref="I616:I620" si="432">SUBTOTAL(9,J616:L616)</f>
        <v>58.52</v>
      </c>
      <c r="J616" s="309">
        <v>47.27</v>
      </c>
      <c r="K616" s="310">
        <v>0</v>
      </c>
      <c r="L616" s="311">
        <v>11.25</v>
      </c>
      <c r="M616" s="330" t="s">
        <v>1039</v>
      </c>
    </row>
    <row r="617" s="263" customFormat="1" ht="22" customHeight="1" spans="1:13">
      <c r="A617" s="300" t="s">
        <v>1040</v>
      </c>
      <c r="B617" s="301" t="s">
        <v>1041</v>
      </c>
      <c r="C617" s="302"/>
      <c r="D617" s="303">
        <f t="shared" ref="D617:L617" si="433">D618</f>
        <v>1268.5</v>
      </c>
      <c r="E617" s="304">
        <f t="shared" si="433"/>
        <v>0</v>
      </c>
      <c r="F617" s="305">
        <f t="shared" si="433"/>
        <v>0</v>
      </c>
      <c r="G617" s="303">
        <f t="shared" si="433"/>
        <v>0</v>
      </c>
      <c r="H617" s="304">
        <f t="shared" si="433"/>
        <v>0</v>
      </c>
      <c r="I617" s="327">
        <f t="shared" si="433"/>
        <v>1268.5</v>
      </c>
      <c r="J617" s="303">
        <f t="shared" si="433"/>
        <v>68.5</v>
      </c>
      <c r="K617" s="304">
        <f t="shared" si="433"/>
        <v>0</v>
      </c>
      <c r="L617" s="305">
        <f t="shared" si="433"/>
        <v>1200</v>
      </c>
      <c r="M617" s="328" t="s">
        <v>291</v>
      </c>
    </row>
    <row r="618" s="263" customFormat="1" ht="37" customHeight="1" spans="1:13">
      <c r="A618" s="306" t="s">
        <v>298</v>
      </c>
      <c r="B618" s="307" t="s">
        <v>298</v>
      </c>
      <c r="C618" s="308" t="s">
        <v>554</v>
      </c>
      <c r="D618" s="309">
        <f t="shared" ref="D618:D623" si="434">E618+I618</f>
        <v>1268.5</v>
      </c>
      <c r="E618" s="310">
        <f t="shared" si="431"/>
        <v>0</v>
      </c>
      <c r="F618" s="311">
        <v>0</v>
      </c>
      <c r="G618" s="309">
        <v>0</v>
      </c>
      <c r="H618" s="310">
        <v>0</v>
      </c>
      <c r="I618" s="329">
        <f t="shared" si="432"/>
        <v>1268.5</v>
      </c>
      <c r="J618" s="309">
        <v>68.5</v>
      </c>
      <c r="K618" s="310">
        <v>0</v>
      </c>
      <c r="L618" s="311">
        <v>1200</v>
      </c>
      <c r="M618" s="330" t="s">
        <v>1042</v>
      </c>
    </row>
    <row r="619" s="263" customFormat="1" ht="22" customHeight="1" spans="1:13">
      <c r="A619" s="300" t="s">
        <v>1043</v>
      </c>
      <c r="B619" s="301" t="s">
        <v>1044</v>
      </c>
      <c r="C619" s="302"/>
      <c r="D619" s="303">
        <f t="shared" ref="D619:L619" si="435">D620</f>
        <v>40.1</v>
      </c>
      <c r="E619" s="304">
        <f t="shared" si="435"/>
        <v>0</v>
      </c>
      <c r="F619" s="305">
        <f t="shared" si="435"/>
        <v>0</v>
      </c>
      <c r="G619" s="303">
        <f t="shared" si="435"/>
        <v>0</v>
      </c>
      <c r="H619" s="304">
        <f t="shared" si="435"/>
        <v>0</v>
      </c>
      <c r="I619" s="327">
        <f t="shared" si="435"/>
        <v>40.1</v>
      </c>
      <c r="J619" s="303">
        <f t="shared" si="435"/>
        <v>40.1</v>
      </c>
      <c r="K619" s="304">
        <f t="shared" si="435"/>
        <v>0</v>
      </c>
      <c r="L619" s="305">
        <f t="shared" si="435"/>
        <v>0</v>
      </c>
      <c r="M619" s="328" t="s">
        <v>291</v>
      </c>
    </row>
    <row r="620" s="263" customFormat="1" ht="79" customHeight="1" spans="1:13">
      <c r="A620" s="306" t="s">
        <v>298</v>
      </c>
      <c r="B620" s="307" t="s">
        <v>298</v>
      </c>
      <c r="C620" s="308" t="s">
        <v>557</v>
      </c>
      <c r="D620" s="309">
        <f t="shared" si="434"/>
        <v>40.1</v>
      </c>
      <c r="E620" s="310">
        <f t="shared" si="431"/>
        <v>0</v>
      </c>
      <c r="F620" s="311">
        <v>0</v>
      </c>
      <c r="G620" s="309">
        <v>0</v>
      </c>
      <c r="H620" s="310">
        <v>0</v>
      </c>
      <c r="I620" s="329">
        <f t="shared" si="432"/>
        <v>40.1</v>
      </c>
      <c r="J620" s="309">
        <v>40.1</v>
      </c>
      <c r="K620" s="310">
        <v>0</v>
      </c>
      <c r="L620" s="311">
        <v>0</v>
      </c>
      <c r="M620" s="330" t="s">
        <v>1045</v>
      </c>
    </row>
    <row r="621" s="263" customFormat="1" ht="18.75" customHeight="1" spans="1:13">
      <c r="A621" s="294" t="s">
        <v>1046</v>
      </c>
      <c r="B621" s="295" t="s">
        <v>1047</v>
      </c>
      <c r="C621" s="296"/>
      <c r="D621" s="297">
        <f t="shared" ref="D621:L621" si="436">D622</f>
        <v>1515</v>
      </c>
      <c r="E621" s="298">
        <f t="shared" si="436"/>
        <v>0</v>
      </c>
      <c r="F621" s="299">
        <f t="shared" si="436"/>
        <v>0</v>
      </c>
      <c r="G621" s="297">
        <f t="shared" si="436"/>
        <v>0</v>
      </c>
      <c r="H621" s="298">
        <f t="shared" si="436"/>
        <v>0</v>
      </c>
      <c r="I621" s="325">
        <f t="shared" si="436"/>
        <v>1515</v>
      </c>
      <c r="J621" s="297">
        <f t="shared" si="436"/>
        <v>0</v>
      </c>
      <c r="K621" s="298">
        <f t="shared" si="436"/>
        <v>0</v>
      </c>
      <c r="L621" s="299">
        <f t="shared" si="436"/>
        <v>1515</v>
      </c>
      <c r="M621" s="326" t="s">
        <v>291</v>
      </c>
    </row>
    <row r="622" s="263" customFormat="1" ht="22" customHeight="1" spans="1:13">
      <c r="A622" s="300" t="s">
        <v>1048</v>
      </c>
      <c r="B622" s="301" t="s">
        <v>1049</v>
      </c>
      <c r="C622" s="302"/>
      <c r="D622" s="303">
        <f t="shared" ref="D622:L622" si="437">D623</f>
        <v>1515</v>
      </c>
      <c r="E622" s="304">
        <f t="shared" si="437"/>
        <v>0</v>
      </c>
      <c r="F622" s="305">
        <f t="shared" si="437"/>
        <v>0</v>
      </c>
      <c r="G622" s="303">
        <f t="shared" si="437"/>
        <v>0</v>
      </c>
      <c r="H622" s="304">
        <f t="shared" si="437"/>
        <v>0</v>
      </c>
      <c r="I622" s="327">
        <f t="shared" si="437"/>
        <v>1515</v>
      </c>
      <c r="J622" s="303">
        <f t="shared" si="437"/>
        <v>0</v>
      </c>
      <c r="K622" s="304">
        <f t="shared" si="437"/>
        <v>0</v>
      </c>
      <c r="L622" s="305">
        <f t="shared" si="437"/>
        <v>1515</v>
      </c>
      <c r="M622" s="328" t="s">
        <v>291</v>
      </c>
    </row>
    <row r="623" s="263" customFormat="1" ht="28" customHeight="1" spans="1:13">
      <c r="A623" s="306" t="s">
        <v>298</v>
      </c>
      <c r="B623" s="307" t="s">
        <v>298</v>
      </c>
      <c r="C623" s="308" t="s">
        <v>554</v>
      </c>
      <c r="D623" s="309">
        <f t="shared" si="434"/>
        <v>1515</v>
      </c>
      <c r="E623" s="310">
        <f t="shared" ref="E623:E628" si="438">SUBTOTAL(9,F623:H623)</f>
        <v>0</v>
      </c>
      <c r="F623" s="311">
        <v>0</v>
      </c>
      <c r="G623" s="309">
        <v>0</v>
      </c>
      <c r="H623" s="310">
        <v>0</v>
      </c>
      <c r="I623" s="329">
        <f t="shared" ref="I623:I628" si="439">SUBTOTAL(9,J623:L623)</f>
        <v>1515</v>
      </c>
      <c r="J623" s="309">
        <v>0</v>
      </c>
      <c r="K623" s="310">
        <v>0</v>
      </c>
      <c r="L623" s="311">
        <v>1515</v>
      </c>
      <c r="M623" s="330" t="s">
        <v>1050</v>
      </c>
    </row>
    <row r="624" s="263" customFormat="1" ht="18.75" customHeight="1" spans="1:13">
      <c r="A624" s="294" t="s">
        <v>1051</v>
      </c>
      <c r="B624" s="295" t="s">
        <v>1052</v>
      </c>
      <c r="C624" s="296"/>
      <c r="D624" s="297">
        <f t="shared" ref="D624:L624" si="440">D625+D627</f>
        <v>370</v>
      </c>
      <c r="E624" s="298">
        <f t="shared" si="440"/>
        <v>0</v>
      </c>
      <c r="F624" s="299">
        <f t="shared" si="440"/>
        <v>0</v>
      </c>
      <c r="G624" s="297">
        <f t="shared" si="440"/>
        <v>0</v>
      </c>
      <c r="H624" s="298">
        <f t="shared" si="440"/>
        <v>0</v>
      </c>
      <c r="I624" s="325">
        <f t="shared" si="440"/>
        <v>370</v>
      </c>
      <c r="J624" s="297">
        <f t="shared" si="440"/>
        <v>0</v>
      </c>
      <c r="K624" s="298">
        <f t="shared" si="440"/>
        <v>0</v>
      </c>
      <c r="L624" s="299">
        <f t="shared" si="440"/>
        <v>370</v>
      </c>
      <c r="M624" s="326" t="s">
        <v>291</v>
      </c>
    </row>
    <row r="625" s="263" customFormat="1" ht="22" customHeight="1" spans="1:13">
      <c r="A625" s="300" t="s">
        <v>1053</v>
      </c>
      <c r="B625" s="301" t="s">
        <v>1054</v>
      </c>
      <c r="C625" s="302"/>
      <c r="D625" s="303">
        <f t="shared" ref="D625:L625" si="441">D626</f>
        <v>300</v>
      </c>
      <c r="E625" s="304">
        <f t="shared" si="441"/>
        <v>0</v>
      </c>
      <c r="F625" s="305">
        <f t="shared" si="441"/>
        <v>0</v>
      </c>
      <c r="G625" s="303">
        <f t="shared" si="441"/>
        <v>0</v>
      </c>
      <c r="H625" s="304">
        <f t="shared" si="441"/>
        <v>0</v>
      </c>
      <c r="I625" s="327">
        <f t="shared" si="441"/>
        <v>300</v>
      </c>
      <c r="J625" s="303">
        <f t="shared" si="441"/>
        <v>0</v>
      </c>
      <c r="K625" s="304">
        <f t="shared" si="441"/>
        <v>0</v>
      </c>
      <c r="L625" s="305">
        <f t="shared" si="441"/>
        <v>300</v>
      </c>
      <c r="M625" s="328" t="s">
        <v>291</v>
      </c>
    </row>
    <row r="626" s="263" customFormat="1" ht="18.75" customHeight="1" spans="1:13">
      <c r="A626" s="306" t="s">
        <v>298</v>
      </c>
      <c r="B626" s="307" t="s">
        <v>298</v>
      </c>
      <c r="C626" s="308" t="s">
        <v>554</v>
      </c>
      <c r="D626" s="309">
        <f t="shared" ref="D626:D631" si="442">E626+I626</f>
        <v>300</v>
      </c>
      <c r="E626" s="310">
        <f t="shared" si="438"/>
        <v>0</v>
      </c>
      <c r="F626" s="311">
        <v>0</v>
      </c>
      <c r="G626" s="309">
        <v>0</v>
      </c>
      <c r="H626" s="310">
        <v>0</v>
      </c>
      <c r="I626" s="329">
        <f t="shared" si="439"/>
        <v>300</v>
      </c>
      <c r="J626" s="309">
        <v>0</v>
      </c>
      <c r="K626" s="310">
        <v>0</v>
      </c>
      <c r="L626" s="311">
        <v>300</v>
      </c>
      <c r="M626" s="330" t="s">
        <v>1055</v>
      </c>
    </row>
    <row r="627" s="263" customFormat="1" ht="22" customHeight="1" spans="1:13">
      <c r="A627" s="300" t="s">
        <v>1056</v>
      </c>
      <c r="B627" s="301" t="s">
        <v>1057</v>
      </c>
      <c r="C627" s="302"/>
      <c r="D627" s="303">
        <f t="shared" ref="D627:L627" si="443">D628</f>
        <v>70</v>
      </c>
      <c r="E627" s="304">
        <f t="shared" si="443"/>
        <v>0</v>
      </c>
      <c r="F627" s="305">
        <f t="shared" si="443"/>
        <v>0</v>
      </c>
      <c r="G627" s="303">
        <f t="shared" si="443"/>
        <v>0</v>
      </c>
      <c r="H627" s="304">
        <f t="shared" si="443"/>
        <v>0</v>
      </c>
      <c r="I627" s="327">
        <f t="shared" si="443"/>
        <v>70</v>
      </c>
      <c r="J627" s="303">
        <f t="shared" si="443"/>
        <v>0</v>
      </c>
      <c r="K627" s="304">
        <f t="shared" si="443"/>
        <v>0</v>
      </c>
      <c r="L627" s="305">
        <f t="shared" si="443"/>
        <v>70</v>
      </c>
      <c r="M627" s="328" t="s">
        <v>291</v>
      </c>
    </row>
    <row r="628" s="263" customFormat="1" ht="18.75" customHeight="1" spans="1:13">
      <c r="A628" s="306" t="s">
        <v>298</v>
      </c>
      <c r="B628" s="307" t="s">
        <v>298</v>
      </c>
      <c r="C628" s="308" t="s">
        <v>554</v>
      </c>
      <c r="D628" s="309">
        <f t="shared" si="442"/>
        <v>70</v>
      </c>
      <c r="E628" s="310">
        <f t="shared" si="438"/>
        <v>0</v>
      </c>
      <c r="F628" s="311">
        <v>0</v>
      </c>
      <c r="G628" s="309">
        <v>0</v>
      </c>
      <c r="H628" s="310">
        <v>0</v>
      </c>
      <c r="I628" s="329">
        <f t="shared" si="439"/>
        <v>70</v>
      </c>
      <c r="J628" s="309">
        <v>0</v>
      </c>
      <c r="K628" s="310">
        <v>0</v>
      </c>
      <c r="L628" s="311">
        <v>70</v>
      </c>
      <c r="M628" s="330" t="s">
        <v>1058</v>
      </c>
    </row>
    <row r="629" s="263" customFormat="1" ht="18.75" customHeight="1" spans="1:13">
      <c r="A629" s="294" t="s">
        <v>1059</v>
      </c>
      <c r="B629" s="295" t="s">
        <v>1060</v>
      </c>
      <c r="C629" s="296"/>
      <c r="D629" s="297">
        <f t="shared" ref="D629:L629" si="444">D630</f>
        <v>1312</v>
      </c>
      <c r="E629" s="298">
        <f t="shared" si="444"/>
        <v>0</v>
      </c>
      <c r="F629" s="299">
        <f t="shared" si="444"/>
        <v>0</v>
      </c>
      <c r="G629" s="297">
        <f t="shared" si="444"/>
        <v>0</v>
      </c>
      <c r="H629" s="298">
        <f t="shared" si="444"/>
        <v>0</v>
      </c>
      <c r="I629" s="325">
        <f t="shared" si="444"/>
        <v>1312</v>
      </c>
      <c r="J629" s="297">
        <f t="shared" si="444"/>
        <v>12</v>
      </c>
      <c r="K629" s="298">
        <f t="shared" si="444"/>
        <v>0</v>
      </c>
      <c r="L629" s="299">
        <f t="shared" si="444"/>
        <v>1300</v>
      </c>
      <c r="M629" s="326" t="s">
        <v>291</v>
      </c>
    </row>
    <row r="630" s="263" customFormat="1" ht="22" customHeight="1" spans="1:13">
      <c r="A630" s="300" t="s">
        <v>1061</v>
      </c>
      <c r="B630" s="301" t="s">
        <v>1062</v>
      </c>
      <c r="C630" s="302"/>
      <c r="D630" s="303">
        <f t="shared" ref="D630:L630" si="445">D631</f>
        <v>1312</v>
      </c>
      <c r="E630" s="304">
        <f t="shared" si="445"/>
        <v>0</v>
      </c>
      <c r="F630" s="305">
        <f t="shared" si="445"/>
        <v>0</v>
      </c>
      <c r="G630" s="303">
        <f t="shared" si="445"/>
        <v>0</v>
      </c>
      <c r="H630" s="304">
        <f t="shared" si="445"/>
        <v>0</v>
      </c>
      <c r="I630" s="327">
        <f t="shared" si="445"/>
        <v>1312</v>
      </c>
      <c r="J630" s="303">
        <f t="shared" si="445"/>
        <v>12</v>
      </c>
      <c r="K630" s="304">
        <f t="shared" si="445"/>
        <v>0</v>
      </c>
      <c r="L630" s="305">
        <f t="shared" si="445"/>
        <v>1300</v>
      </c>
      <c r="M630" s="328" t="s">
        <v>291</v>
      </c>
    </row>
    <row r="631" s="263" customFormat="1" ht="26" customHeight="1" spans="1:13">
      <c r="A631" s="306" t="s">
        <v>298</v>
      </c>
      <c r="B631" s="307" t="s">
        <v>298</v>
      </c>
      <c r="C631" s="308" t="s">
        <v>554</v>
      </c>
      <c r="D631" s="309">
        <f t="shared" si="442"/>
        <v>1312</v>
      </c>
      <c r="E631" s="310">
        <f>SUBTOTAL(9,F631:H631)</f>
        <v>0</v>
      </c>
      <c r="F631" s="311">
        <v>0</v>
      </c>
      <c r="G631" s="309">
        <v>0</v>
      </c>
      <c r="H631" s="310">
        <v>0</v>
      </c>
      <c r="I631" s="329">
        <f>SUBTOTAL(9,J631:L631)</f>
        <v>1312</v>
      </c>
      <c r="J631" s="309">
        <v>12</v>
      </c>
      <c r="K631" s="310">
        <v>0</v>
      </c>
      <c r="L631" s="311">
        <v>1300</v>
      </c>
      <c r="M631" s="330" t="s">
        <v>1063</v>
      </c>
    </row>
    <row r="632" s="263" customFormat="1" ht="18.75" customHeight="1" spans="1:13">
      <c r="A632" s="294" t="s">
        <v>1064</v>
      </c>
      <c r="B632" s="295" t="s">
        <v>1065</v>
      </c>
      <c r="C632" s="296"/>
      <c r="D632" s="297">
        <f t="shared" ref="D632:L632" si="446">D633</f>
        <v>10</v>
      </c>
      <c r="E632" s="298">
        <f t="shared" si="446"/>
        <v>10</v>
      </c>
      <c r="F632" s="299">
        <f t="shared" si="446"/>
        <v>0</v>
      </c>
      <c r="G632" s="297">
        <f t="shared" si="446"/>
        <v>0</v>
      </c>
      <c r="H632" s="298">
        <f t="shared" si="446"/>
        <v>10</v>
      </c>
      <c r="I632" s="325">
        <f t="shared" si="446"/>
        <v>0</v>
      </c>
      <c r="J632" s="297">
        <f t="shared" si="446"/>
        <v>0</v>
      </c>
      <c r="K632" s="298">
        <f t="shared" si="446"/>
        <v>0</v>
      </c>
      <c r="L632" s="299">
        <f t="shared" si="446"/>
        <v>0</v>
      </c>
      <c r="M632" s="326" t="s">
        <v>291</v>
      </c>
    </row>
    <row r="633" s="263" customFormat="1" ht="22" customHeight="1" spans="1:13">
      <c r="A633" s="300" t="s">
        <v>1066</v>
      </c>
      <c r="B633" s="301" t="s">
        <v>1067</v>
      </c>
      <c r="C633" s="302"/>
      <c r="D633" s="303">
        <f t="shared" ref="D633:L633" si="447">D634</f>
        <v>10</v>
      </c>
      <c r="E633" s="304">
        <f t="shared" si="447"/>
        <v>10</v>
      </c>
      <c r="F633" s="305">
        <f t="shared" si="447"/>
        <v>0</v>
      </c>
      <c r="G633" s="303">
        <f t="shared" si="447"/>
        <v>0</v>
      </c>
      <c r="H633" s="304">
        <f t="shared" si="447"/>
        <v>10</v>
      </c>
      <c r="I633" s="327">
        <f t="shared" si="447"/>
        <v>0</v>
      </c>
      <c r="J633" s="303">
        <f t="shared" si="447"/>
        <v>0</v>
      </c>
      <c r="K633" s="304">
        <f t="shared" si="447"/>
        <v>0</v>
      </c>
      <c r="L633" s="305">
        <f t="shared" si="447"/>
        <v>0</v>
      </c>
      <c r="M633" s="328" t="s">
        <v>291</v>
      </c>
    </row>
    <row r="634" s="263" customFormat="1" ht="18.75" customHeight="1" spans="1:13">
      <c r="A634" s="306" t="s">
        <v>298</v>
      </c>
      <c r="B634" s="307" t="s">
        <v>298</v>
      </c>
      <c r="C634" s="308" t="s">
        <v>554</v>
      </c>
      <c r="D634" s="309">
        <f t="shared" ref="D634:D639" si="448">E634+I634</f>
        <v>10</v>
      </c>
      <c r="E634" s="310">
        <f t="shared" ref="E634:E639" si="449">SUBTOTAL(9,F634:H634)</f>
        <v>10</v>
      </c>
      <c r="F634" s="311">
        <v>0</v>
      </c>
      <c r="G634" s="309">
        <v>0</v>
      </c>
      <c r="H634" s="310">
        <v>10</v>
      </c>
      <c r="I634" s="329">
        <f t="shared" ref="I634:I639" si="450">SUBTOTAL(9,J634:L634)</f>
        <v>0</v>
      </c>
      <c r="J634" s="309">
        <v>0</v>
      </c>
      <c r="K634" s="310">
        <v>0</v>
      </c>
      <c r="L634" s="311">
        <v>0</v>
      </c>
      <c r="M634" s="330" t="s">
        <v>291</v>
      </c>
    </row>
    <row r="635" s="263" customFormat="1" ht="21" customHeight="1" spans="1:13">
      <c r="A635" s="294" t="s">
        <v>1068</v>
      </c>
      <c r="B635" s="295" t="s">
        <v>1069</v>
      </c>
      <c r="C635" s="296"/>
      <c r="D635" s="297">
        <f t="shared" ref="D635:L635" si="451">D636+D638</f>
        <v>5101.5934</v>
      </c>
      <c r="E635" s="298">
        <f t="shared" si="451"/>
        <v>40</v>
      </c>
      <c r="F635" s="299">
        <f t="shared" si="451"/>
        <v>40</v>
      </c>
      <c r="G635" s="297">
        <f t="shared" si="451"/>
        <v>0</v>
      </c>
      <c r="H635" s="298">
        <f t="shared" si="451"/>
        <v>0</v>
      </c>
      <c r="I635" s="325">
        <f t="shared" si="451"/>
        <v>5061.5934</v>
      </c>
      <c r="J635" s="297">
        <f t="shared" si="451"/>
        <v>446.5934</v>
      </c>
      <c r="K635" s="298">
        <f t="shared" si="451"/>
        <v>0</v>
      </c>
      <c r="L635" s="299">
        <f t="shared" si="451"/>
        <v>4615</v>
      </c>
      <c r="M635" s="326" t="s">
        <v>291</v>
      </c>
    </row>
    <row r="636" s="263" customFormat="1" ht="22" customHeight="1" spans="1:13">
      <c r="A636" s="300" t="s">
        <v>1070</v>
      </c>
      <c r="B636" s="301" t="s">
        <v>1071</v>
      </c>
      <c r="C636" s="302"/>
      <c r="D636" s="303">
        <f t="shared" ref="D636:L636" si="452">D637</f>
        <v>40</v>
      </c>
      <c r="E636" s="304">
        <f t="shared" si="452"/>
        <v>40</v>
      </c>
      <c r="F636" s="305">
        <f t="shared" si="452"/>
        <v>40</v>
      </c>
      <c r="G636" s="303">
        <f t="shared" si="452"/>
        <v>0</v>
      </c>
      <c r="H636" s="304">
        <f t="shared" si="452"/>
        <v>0</v>
      </c>
      <c r="I636" s="327">
        <f t="shared" si="452"/>
        <v>0</v>
      </c>
      <c r="J636" s="303">
        <f t="shared" si="452"/>
        <v>0</v>
      </c>
      <c r="K636" s="304">
        <f t="shared" si="452"/>
        <v>0</v>
      </c>
      <c r="L636" s="305">
        <f t="shared" si="452"/>
        <v>0</v>
      </c>
      <c r="M636" s="328" t="s">
        <v>291</v>
      </c>
    </row>
    <row r="637" s="263" customFormat="1" ht="18.75" customHeight="1" spans="1:13">
      <c r="A637" s="306" t="s">
        <v>298</v>
      </c>
      <c r="B637" s="307" t="s">
        <v>298</v>
      </c>
      <c r="C637" s="308"/>
      <c r="D637" s="309">
        <f t="shared" si="448"/>
        <v>40</v>
      </c>
      <c r="E637" s="310">
        <f t="shared" si="449"/>
        <v>40</v>
      </c>
      <c r="F637" s="311">
        <v>40</v>
      </c>
      <c r="G637" s="309">
        <v>0</v>
      </c>
      <c r="H637" s="310">
        <v>0</v>
      </c>
      <c r="I637" s="329">
        <f t="shared" si="450"/>
        <v>0</v>
      </c>
      <c r="J637" s="309">
        <v>0</v>
      </c>
      <c r="K637" s="310">
        <v>0</v>
      </c>
      <c r="L637" s="311">
        <v>0</v>
      </c>
      <c r="M637" s="330" t="s">
        <v>291</v>
      </c>
    </row>
    <row r="638" s="263" customFormat="1" ht="22" customHeight="1" spans="1:13">
      <c r="A638" s="300" t="s">
        <v>1072</v>
      </c>
      <c r="B638" s="301" t="s">
        <v>1073</v>
      </c>
      <c r="C638" s="302"/>
      <c r="D638" s="303">
        <f t="shared" ref="D638:L638" si="453">D639</f>
        <v>5061.5934</v>
      </c>
      <c r="E638" s="304">
        <f t="shared" si="453"/>
        <v>0</v>
      </c>
      <c r="F638" s="305">
        <f t="shared" si="453"/>
        <v>0</v>
      </c>
      <c r="G638" s="303">
        <f t="shared" si="453"/>
        <v>0</v>
      </c>
      <c r="H638" s="304">
        <f t="shared" si="453"/>
        <v>0</v>
      </c>
      <c r="I638" s="327">
        <f t="shared" si="453"/>
        <v>5061.5934</v>
      </c>
      <c r="J638" s="303">
        <f t="shared" si="453"/>
        <v>446.5934</v>
      </c>
      <c r="K638" s="304">
        <f t="shared" si="453"/>
        <v>0</v>
      </c>
      <c r="L638" s="305">
        <f t="shared" si="453"/>
        <v>4615</v>
      </c>
      <c r="M638" s="328" t="s">
        <v>291</v>
      </c>
    </row>
    <row r="639" s="263" customFormat="1" ht="60" customHeight="1" spans="1:13">
      <c r="A639" s="306" t="s">
        <v>298</v>
      </c>
      <c r="B639" s="307" t="s">
        <v>298</v>
      </c>
      <c r="C639" s="308" t="s">
        <v>556</v>
      </c>
      <c r="D639" s="309">
        <f t="shared" si="448"/>
        <v>5061.5934</v>
      </c>
      <c r="E639" s="310">
        <f t="shared" si="449"/>
        <v>0</v>
      </c>
      <c r="F639" s="311">
        <v>0</v>
      </c>
      <c r="G639" s="309">
        <v>0</v>
      </c>
      <c r="H639" s="310">
        <v>0</v>
      </c>
      <c r="I639" s="329">
        <f t="shared" si="450"/>
        <v>5061.5934</v>
      </c>
      <c r="J639" s="309">
        <v>446.5934</v>
      </c>
      <c r="K639" s="310">
        <v>0</v>
      </c>
      <c r="L639" s="311">
        <v>4615</v>
      </c>
      <c r="M639" s="330" t="s">
        <v>1074</v>
      </c>
    </row>
    <row r="640" s="263" customFormat="1" ht="18.75" customHeight="1" spans="1:13">
      <c r="A640" s="294" t="s">
        <v>1075</v>
      </c>
      <c r="B640" s="295" t="s">
        <v>1076</v>
      </c>
      <c r="C640" s="296"/>
      <c r="D640" s="297">
        <f t="shared" ref="D640:L640" si="454">D641+D643+D645</f>
        <v>154.6398</v>
      </c>
      <c r="E640" s="298">
        <f t="shared" si="454"/>
        <v>79.8198</v>
      </c>
      <c r="F640" s="299">
        <f t="shared" si="454"/>
        <v>71.5098</v>
      </c>
      <c r="G640" s="297">
        <f t="shared" si="454"/>
        <v>8.31</v>
      </c>
      <c r="H640" s="298">
        <f t="shared" si="454"/>
        <v>0</v>
      </c>
      <c r="I640" s="325">
        <f t="shared" si="454"/>
        <v>74.82</v>
      </c>
      <c r="J640" s="297">
        <f t="shared" si="454"/>
        <v>74.82</v>
      </c>
      <c r="K640" s="298">
        <f t="shared" si="454"/>
        <v>0</v>
      </c>
      <c r="L640" s="299">
        <f t="shared" si="454"/>
        <v>0</v>
      </c>
      <c r="M640" s="326" t="s">
        <v>291</v>
      </c>
    </row>
    <row r="641" s="263" customFormat="1" ht="22" customHeight="1" spans="1:13">
      <c r="A641" s="300" t="s">
        <v>1077</v>
      </c>
      <c r="B641" s="301" t="s">
        <v>1078</v>
      </c>
      <c r="C641" s="302"/>
      <c r="D641" s="303">
        <f t="shared" ref="D641:L641" si="455">D642</f>
        <v>79.8998</v>
      </c>
      <c r="E641" s="304">
        <f t="shared" si="455"/>
        <v>79.8198</v>
      </c>
      <c r="F641" s="305">
        <f t="shared" si="455"/>
        <v>71.5098</v>
      </c>
      <c r="G641" s="303">
        <f t="shared" si="455"/>
        <v>8.31</v>
      </c>
      <c r="H641" s="304">
        <f t="shared" si="455"/>
        <v>0</v>
      </c>
      <c r="I641" s="327">
        <f t="shared" si="455"/>
        <v>0.08</v>
      </c>
      <c r="J641" s="303">
        <f t="shared" si="455"/>
        <v>0.08</v>
      </c>
      <c r="K641" s="304">
        <f t="shared" si="455"/>
        <v>0</v>
      </c>
      <c r="L641" s="305">
        <f t="shared" si="455"/>
        <v>0</v>
      </c>
      <c r="M641" s="328" t="s">
        <v>291</v>
      </c>
    </row>
    <row r="642" s="263" customFormat="1" ht="18.75" customHeight="1" spans="1:13">
      <c r="A642" s="306" t="s">
        <v>298</v>
      </c>
      <c r="B642" s="307" t="s">
        <v>298</v>
      </c>
      <c r="C642" s="308" t="s">
        <v>558</v>
      </c>
      <c r="D642" s="309">
        <f t="shared" ref="D642:D646" si="456">E642+I642</f>
        <v>79.8998</v>
      </c>
      <c r="E642" s="310">
        <f t="shared" ref="E642:E646" si="457">SUBTOTAL(9,F642:H642)</f>
        <v>79.8198</v>
      </c>
      <c r="F642" s="311">
        <v>71.5098</v>
      </c>
      <c r="G642" s="309">
        <v>8.31</v>
      </c>
      <c r="H642" s="310">
        <v>0</v>
      </c>
      <c r="I642" s="329">
        <f t="shared" ref="I642:I646" si="458">SUBTOTAL(9,J642:L642)</f>
        <v>0.08</v>
      </c>
      <c r="J642" s="309">
        <v>0.08</v>
      </c>
      <c r="K642" s="310">
        <v>0</v>
      </c>
      <c r="L642" s="311">
        <v>0</v>
      </c>
      <c r="M642" s="330" t="s">
        <v>1079</v>
      </c>
    </row>
    <row r="643" s="263" customFormat="1" ht="22" customHeight="1" spans="1:13">
      <c r="A643" s="300" t="s">
        <v>1080</v>
      </c>
      <c r="B643" s="301" t="s">
        <v>1081</v>
      </c>
      <c r="C643" s="302"/>
      <c r="D643" s="303">
        <f t="shared" ref="D643:L643" si="459">D644</f>
        <v>51.04</v>
      </c>
      <c r="E643" s="304">
        <f t="shared" si="459"/>
        <v>0</v>
      </c>
      <c r="F643" s="305">
        <f t="shared" si="459"/>
        <v>0</v>
      </c>
      <c r="G643" s="303">
        <f t="shared" si="459"/>
        <v>0</v>
      </c>
      <c r="H643" s="304">
        <f t="shared" si="459"/>
        <v>0</v>
      </c>
      <c r="I643" s="327">
        <f t="shared" si="459"/>
        <v>51.04</v>
      </c>
      <c r="J643" s="303">
        <f t="shared" si="459"/>
        <v>51.04</v>
      </c>
      <c r="K643" s="304">
        <f t="shared" si="459"/>
        <v>0</v>
      </c>
      <c r="L643" s="305">
        <f t="shared" si="459"/>
        <v>0</v>
      </c>
      <c r="M643" s="328" t="s">
        <v>291</v>
      </c>
    </row>
    <row r="644" s="263" customFormat="1" ht="18.75" customHeight="1" spans="1:13">
      <c r="A644" s="306" t="s">
        <v>298</v>
      </c>
      <c r="B644" s="307" t="s">
        <v>298</v>
      </c>
      <c r="C644" s="308" t="s">
        <v>558</v>
      </c>
      <c r="D644" s="309">
        <f t="shared" si="456"/>
        <v>51.04</v>
      </c>
      <c r="E644" s="310">
        <f t="shared" si="457"/>
        <v>0</v>
      </c>
      <c r="F644" s="311">
        <v>0</v>
      </c>
      <c r="G644" s="309">
        <v>0</v>
      </c>
      <c r="H644" s="310">
        <v>0</v>
      </c>
      <c r="I644" s="329">
        <f t="shared" si="458"/>
        <v>51.04</v>
      </c>
      <c r="J644" s="309">
        <v>51.04</v>
      </c>
      <c r="K644" s="310">
        <v>0</v>
      </c>
      <c r="L644" s="311">
        <v>0</v>
      </c>
      <c r="M644" s="330" t="s">
        <v>1082</v>
      </c>
    </row>
    <row r="645" s="263" customFormat="1" ht="22" customHeight="1" spans="1:13">
      <c r="A645" s="300" t="s">
        <v>1083</v>
      </c>
      <c r="B645" s="301" t="s">
        <v>1084</v>
      </c>
      <c r="C645" s="302"/>
      <c r="D645" s="303">
        <f t="shared" ref="D645:L645" si="460">D646</f>
        <v>23.7</v>
      </c>
      <c r="E645" s="304">
        <f t="shared" si="460"/>
        <v>0</v>
      </c>
      <c r="F645" s="305">
        <f t="shared" si="460"/>
        <v>0</v>
      </c>
      <c r="G645" s="303">
        <f t="shared" si="460"/>
        <v>0</v>
      </c>
      <c r="H645" s="304">
        <f t="shared" si="460"/>
        <v>0</v>
      </c>
      <c r="I645" s="327">
        <f t="shared" si="460"/>
        <v>23.7</v>
      </c>
      <c r="J645" s="303">
        <f t="shared" si="460"/>
        <v>23.7</v>
      </c>
      <c r="K645" s="304">
        <f t="shared" si="460"/>
        <v>0</v>
      </c>
      <c r="L645" s="305">
        <f t="shared" si="460"/>
        <v>0</v>
      </c>
      <c r="M645" s="328" t="s">
        <v>291</v>
      </c>
    </row>
    <row r="646" s="263" customFormat="1" ht="47" customHeight="1" spans="1:13">
      <c r="A646" s="306" t="s">
        <v>298</v>
      </c>
      <c r="B646" s="307" t="s">
        <v>298</v>
      </c>
      <c r="C646" s="308" t="s">
        <v>558</v>
      </c>
      <c r="D646" s="309">
        <f t="shared" si="456"/>
        <v>23.7</v>
      </c>
      <c r="E646" s="310">
        <f t="shared" si="457"/>
        <v>0</v>
      </c>
      <c r="F646" s="311">
        <v>0</v>
      </c>
      <c r="G646" s="309">
        <v>0</v>
      </c>
      <c r="H646" s="310">
        <v>0</v>
      </c>
      <c r="I646" s="329">
        <f t="shared" si="458"/>
        <v>23.7</v>
      </c>
      <c r="J646" s="309">
        <v>23.7</v>
      </c>
      <c r="K646" s="310">
        <v>0</v>
      </c>
      <c r="L646" s="311">
        <v>0</v>
      </c>
      <c r="M646" s="330" t="s">
        <v>1085</v>
      </c>
    </row>
    <row r="647" s="263" customFormat="1" ht="27" customHeight="1" spans="1:13">
      <c r="A647" s="294" t="s">
        <v>1086</v>
      </c>
      <c r="B647" s="295" t="s">
        <v>1087</v>
      </c>
      <c r="C647" s="296"/>
      <c r="D647" s="297">
        <f t="shared" ref="D647:L647" si="461">D648+D650</f>
        <v>386.63</v>
      </c>
      <c r="E647" s="298">
        <f t="shared" si="461"/>
        <v>0</v>
      </c>
      <c r="F647" s="299">
        <f t="shared" si="461"/>
        <v>0</v>
      </c>
      <c r="G647" s="297">
        <f t="shared" si="461"/>
        <v>0</v>
      </c>
      <c r="H647" s="298">
        <f t="shared" si="461"/>
        <v>0</v>
      </c>
      <c r="I647" s="325">
        <f t="shared" si="461"/>
        <v>386.63</v>
      </c>
      <c r="J647" s="297">
        <f t="shared" si="461"/>
        <v>30.63</v>
      </c>
      <c r="K647" s="298">
        <f t="shared" si="461"/>
        <v>0</v>
      </c>
      <c r="L647" s="299">
        <f t="shared" si="461"/>
        <v>356</v>
      </c>
      <c r="M647" s="326" t="s">
        <v>291</v>
      </c>
    </row>
    <row r="648" s="263" customFormat="1" ht="25" customHeight="1" spans="1:13">
      <c r="A648" s="300" t="s">
        <v>1088</v>
      </c>
      <c r="B648" s="301" t="s">
        <v>1089</v>
      </c>
      <c r="C648" s="302"/>
      <c r="D648" s="303">
        <f t="shared" ref="D648:L648" si="462">D649</f>
        <v>30.63</v>
      </c>
      <c r="E648" s="304">
        <f t="shared" si="462"/>
        <v>0</v>
      </c>
      <c r="F648" s="305">
        <f t="shared" si="462"/>
        <v>0</v>
      </c>
      <c r="G648" s="303">
        <f t="shared" si="462"/>
        <v>0</v>
      </c>
      <c r="H648" s="304">
        <f t="shared" si="462"/>
        <v>0</v>
      </c>
      <c r="I648" s="327">
        <f t="shared" si="462"/>
        <v>30.63</v>
      </c>
      <c r="J648" s="303">
        <f t="shared" si="462"/>
        <v>30.63</v>
      </c>
      <c r="K648" s="304">
        <f t="shared" si="462"/>
        <v>0</v>
      </c>
      <c r="L648" s="305">
        <f t="shared" si="462"/>
        <v>0</v>
      </c>
      <c r="M648" s="328" t="s">
        <v>291</v>
      </c>
    </row>
    <row r="649" s="263" customFormat="1" ht="27" customHeight="1" spans="1:13">
      <c r="A649" s="306" t="s">
        <v>298</v>
      </c>
      <c r="B649" s="307" t="s">
        <v>298</v>
      </c>
      <c r="C649" s="308" t="s">
        <v>556</v>
      </c>
      <c r="D649" s="309">
        <f t="shared" ref="D649:D654" si="463">E649+I649</f>
        <v>30.63</v>
      </c>
      <c r="E649" s="310">
        <f t="shared" ref="E649:E654" si="464">SUBTOTAL(9,F649:H649)</f>
        <v>0</v>
      </c>
      <c r="F649" s="311">
        <v>0</v>
      </c>
      <c r="G649" s="309">
        <v>0</v>
      </c>
      <c r="H649" s="310">
        <v>0</v>
      </c>
      <c r="I649" s="329">
        <f t="shared" ref="I649:I654" si="465">SUBTOTAL(9,J649:L649)</f>
        <v>30.63</v>
      </c>
      <c r="J649" s="309">
        <v>30.63</v>
      </c>
      <c r="K649" s="310">
        <v>0</v>
      </c>
      <c r="L649" s="311">
        <v>0</v>
      </c>
      <c r="M649" s="330" t="s">
        <v>1090</v>
      </c>
    </row>
    <row r="650" s="263" customFormat="1" ht="22" customHeight="1" spans="1:13">
      <c r="A650" s="300" t="s">
        <v>1091</v>
      </c>
      <c r="B650" s="301" t="s">
        <v>1092</v>
      </c>
      <c r="C650" s="302"/>
      <c r="D650" s="303">
        <f t="shared" ref="D650:L650" si="466">D651</f>
        <v>356</v>
      </c>
      <c r="E650" s="304">
        <f t="shared" si="466"/>
        <v>0</v>
      </c>
      <c r="F650" s="305">
        <f t="shared" si="466"/>
        <v>0</v>
      </c>
      <c r="G650" s="303">
        <f t="shared" si="466"/>
        <v>0</v>
      </c>
      <c r="H650" s="304">
        <f t="shared" si="466"/>
        <v>0</v>
      </c>
      <c r="I650" s="327">
        <f t="shared" si="466"/>
        <v>356</v>
      </c>
      <c r="J650" s="303">
        <f t="shared" si="466"/>
        <v>0</v>
      </c>
      <c r="K650" s="304">
        <f t="shared" si="466"/>
        <v>0</v>
      </c>
      <c r="L650" s="305">
        <f t="shared" si="466"/>
        <v>356</v>
      </c>
      <c r="M650" s="328" t="s">
        <v>291</v>
      </c>
    </row>
    <row r="651" s="263" customFormat="1" ht="28" customHeight="1" spans="1:13">
      <c r="A651" s="306" t="s">
        <v>298</v>
      </c>
      <c r="B651" s="307" t="s">
        <v>298</v>
      </c>
      <c r="C651" s="308" t="s">
        <v>559</v>
      </c>
      <c r="D651" s="309">
        <f t="shared" si="463"/>
        <v>356</v>
      </c>
      <c r="E651" s="310">
        <f t="shared" si="464"/>
        <v>0</v>
      </c>
      <c r="F651" s="311">
        <v>0</v>
      </c>
      <c r="G651" s="309">
        <v>0</v>
      </c>
      <c r="H651" s="310">
        <v>0</v>
      </c>
      <c r="I651" s="329">
        <f t="shared" si="465"/>
        <v>356</v>
      </c>
      <c r="J651" s="309">
        <v>0</v>
      </c>
      <c r="K651" s="310">
        <v>0</v>
      </c>
      <c r="L651" s="311">
        <v>356</v>
      </c>
      <c r="M651" s="330" t="s">
        <v>1093</v>
      </c>
    </row>
    <row r="652" s="263" customFormat="1" ht="22" customHeight="1" spans="1:13">
      <c r="A652" s="294" t="s">
        <v>1094</v>
      </c>
      <c r="B652" s="295" t="s">
        <v>1095</v>
      </c>
      <c r="C652" s="296"/>
      <c r="D652" s="297">
        <f t="shared" ref="D652:L652" si="467">D653</f>
        <v>23.3</v>
      </c>
      <c r="E652" s="298">
        <f t="shared" si="467"/>
        <v>23.3</v>
      </c>
      <c r="F652" s="299">
        <f t="shared" si="467"/>
        <v>0</v>
      </c>
      <c r="G652" s="297">
        <f t="shared" si="467"/>
        <v>0</v>
      </c>
      <c r="H652" s="298">
        <f t="shared" si="467"/>
        <v>23.3</v>
      </c>
      <c r="I652" s="325">
        <f t="shared" si="467"/>
        <v>0</v>
      </c>
      <c r="J652" s="297">
        <f t="shared" si="467"/>
        <v>0</v>
      </c>
      <c r="K652" s="298">
        <f t="shared" si="467"/>
        <v>0</v>
      </c>
      <c r="L652" s="299">
        <f t="shared" si="467"/>
        <v>0</v>
      </c>
      <c r="M652" s="326" t="s">
        <v>291</v>
      </c>
    </row>
    <row r="653" s="263" customFormat="1" ht="22" customHeight="1" spans="1:13">
      <c r="A653" s="300" t="s">
        <v>1096</v>
      </c>
      <c r="B653" s="301" t="s">
        <v>1097</v>
      </c>
      <c r="C653" s="302"/>
      <c r="D653" s="303">
        <f t="shared" ref="D653:L653" si="468">D654</f>
        <v>23.3</v>
      </c>
      <c r="E653" s="304">
        <f t="shared" si="468"/>
        <v>23.3</v>
      </c>
      <c r="F653" s="305">
        <f t="shared" si="468"/>
        <v>0</v>
      </c>
      <c r="G653" s="303">
        <f t="shared" si="468"/>
        <v>0</v>
      </c>
      <c r="H653" s="304">
        <f t="shared" si="468"/>
        <v>23.3</v>
      </c>
      <c r="I653" s="327">
        <f t="shared" si="468"/>
        <v>0</v>
      </c>
      <c r="J653" s="303">
        <f t="shared" si="468"/>
        <v>0</v>
      </c>
      <c r="K653" s="304">
        <f t="shared" si="468"/>
        <v>0</v>
      </c>
      <c r="L653" s="305">
        <f t="shared" si="468"/>
        <v>0</v>
      </c>
      <c r="M653" s="328" t="s">
        <v>291</v>
      </c>
    </row>
    <row r="654" s="263" customFormat="1" ht="18.75" customHeight="1" spans="1:13">
      <c r="A654" s="306" t="s">
        <v>298</v>
      </c>
      <c r="B654" s="307" t="s">
        <v>298</v>
      </c>
      <c r="C654" s="308" t="s">
        <v>556</v>
      </c>
      <c r="D654" s="309">
        <f t="shared" si="463"/>
        <v>23.3</v>
      </c>
      <c r="E654" s="310">
        <f t="shared" si="464"/>
        <v>23.3</v>
      </c>
      <c r="F654" s="311">
        <v>0</v>
      </c>
      <c r="G654" s="309">
        <v>0</v>
      </c>
      <c r="H654" s="310">
        <v>23.3</v>
      </c>
      <c r="I654" s="329">
        <f t="shared" si="465"/>
        <v>0</v>
      </c>
      <c r="J654" s="309">
        <v>0</v>
      </c>
      <c r="K654" s="310">
        <v>0</v>
      </c>
      <c r="L654" s="311">
        <v>0</v>
      </c>
      <c r="M654" s="330" t="s">
        <v>291</v>
      </c>
    </row>
    <row r="655" s="263" customFormat="1" ht="18.75" customHeight="1" spans="1:13">
      <c r="A655" s="288" t="s">
        <v>1098</v>
      </c>
      <c r="B655" s="289" t="s">
        <v>1099</v>
      </c>
      <c r="C655" s="290"/>
      <c r="D655" s="291">
        <f t="shared" ref="D655:L655" si="469">D656+D661+D666+D671+D684+D692+D695+D698+D701+D704+D711</f>
        <v>30238.2556</v>
      </c>
      <c r="E655" s="292">
        <f t="shared" si="469"/>
        <v>6561.6627</v>
      </c>
      <c r="F655" s="293">
        <f t="shared" si="469"/>
        <v>5953.8614</v>
      </c>
      <c r="G655" s="291">
        <f t="shared" si="469"/>
        <v>110.9049</v>
      </c>
      <c r="H655" s="292">
        <f t="shared" si="469"/>
        <v>496.8964</v>
      </c>
      <c r="I655" s="323">
        <f t="shared" si="469"/>
        <v>23676.5929</v>
      </c>
      <c r="J655" s="291">
        <f t="shared" si="469"/>
        <v>2164.6129</v>
      </c>
      <c r="K655" s="292">
        <f t="shared" si="469"/>
        <v>0</v>
      </c>
      <c r="L655" s="293">
        <f t="shared" si="469"/>
        <v>21511.98</v>
      </c>
      <c r="M655" s="324" t="s">
        <v>291</v>
      </c>
    </row>
    <row r="656" s="263" customFormat="1" ht="18.75" customHeight="1" spans="1:13">
      <c r="A656" s="294" t="s">
        <v>1100</v>
      </c>
      <c r="B656" s="295" t="s">
        <v>1101</v>
      </c>
      <c r="C656" s="296"/>
      <c r="D656" s="297">
        <f t="shared" ref="D656:L656" si="470">D657+D659</f>
        <v>489.775</v>
      </c>
      <c r="E656" s="298">
        <f t="shared" si="470"/>
        <v>394.125</v>
      </c>
      <c r="F656" s="299">
        <f t="shared" si="470"/>
        <v>334.2112</v>
      </c>
      <c r="G656" s="297">
        <f t="shared" si="470"/>
        <v>35.1582</v>
      </c>
      <c r="H656" s="298">
        <f t="shared" si="470"/>
        <v>24.7556</v>
      </c>
      <c r="I656" s="325">
        <f t="shared" si="470"/>
        <v>95.65</v>
      </c>
      <c r="J656" s="297">
        <f t="shared" si="470"/>
        <v>95.65</v>
      </c>
      <c r="K656" s="298">
        <f t="shared" si="470"/>
        <v>0</v>
      </c>
      <c r="L656" s="299">
        <f t="shared" si="470"/>
        <v>0</v>
      </c>
      <c r="M656" s="326" t="s">
        <v>291</v>
      </c>
    </row>
    <row r="657" s="263" customFormat="1" ht="22" customHeight="1" spans="1:13">
      <c r="A657" s="300" t="s">
        <v>1102</v>
      </c>
      <c r="B657" s="301" t="s">
        <v>1103</v>
      </c>
      <c r="C657" s="302"/>
      <c r="D657" s="303">
        <f t="shared" ref="D657:L657" si="471">D658</f>
        <v>264.4054</v>
      </c>
      <c r="E657" s="304">
        <f t="shared" si="471"/>
        <v>218.1954</v>
      </c>
      <c r="F657" s="305">
        <f t="shared" si="471"/>
        <v>167.6998</v>
      </c>
      <c r="G657" s="303">
        <f t="shared" si="471"/>
        <v>26.34</v>
      </c>
      <c r="H657" s="304">
        <f t="shared" si="471"/>
        <v>24.1556</v>
      </c>
      <c r="I657" s="327">
        <f t="shared" si="471"/>
        <v>46.21</v>
      </c>
      <c r="J657" s="303">
        <f t="shared" si="471"/>
        <v>46.21</v>
      </c>
      <c r="K657" s="304">
        <f t="shared" si="471"/>
        <v>0</v>
      </c>
      <c r="L657" s="305">
        <f t="shared" si="471"/>
        <v>0</v>
      </c>
      <c r="M657" s="328" t="s">
        <v>291</v>
      </c>
    </row>
    <row r="658" s="263" customFormat="1" ht="27" customHeight="1" spans="1:13">
      <c r="A658" s="306" t="s">
        <v>298</v>
      </c>
      <c r="B658" s="307" t="s">
        <v>298</v>
      </c>
      <c r="C658" s="308" t="s">
        <v>555</v>
      </c>
      <c r="D658" s="309">
        <f t="shared" ref="D658:D663" si="472">E658+I658</f>
        <v>264.4054</v>
      </c>
      <c r="E658" s="310">
        <f t="shared" ref="E658:E663" si="473">SUBTOTAL(9,F658:H658)</f>
        <v>218.1954</v>
      </c>
      <c r="F658" s="311">
        <v>167.6998</v>
      </c>
      <c r="G658" s="309">
        <v>26.34</v>
      </c>
      <c r="H658" s="310">
        <v>24.1556</v>
      </c>
      <c r="I658" s="329">
        <f t="shared" ref="I658:I663" si="474">SUBTOTAL(9,J658:L658)</f>
        <v>46.21</v>
      </c>
      <c r="J658" s="309">
        <v>46.21</v>
      </c>
      <c r="K658" s="310">
        <v>0</v>
      </c>
      <c r="L658" s="311">
        <v>0</v>
      </c>
      <c r="M658" s="330" t="s">
        <v>1104</v>
      </c>
    </row>
    <row r="659" s="263" customFormat="1" ht="22" customHeight="1" spans="1:13">
      <c r="A659" s="300" t="s">
        <v>1105</v>
      </c>
      <c r="B659" s="301" t="s">
        <v>1106</v>
      </c>
      <c r="C659" s="302"/>
      <c r="D659" s="303">
        <f t="shared" ref="D659:L659" si="475">D660</f>
        <v>225.3696</v>
      </c>
      <c r="E659" s="304">
        <f t="shared" si="475"/>
        <v>175.9296</v>
      </c>
      <c r="F659" s="305">
        <f t="shared" si="475"/>
        <v>166.5114</v>
      </c>
      <c r="G659" s="303">
        <f t="shared" si="475"/>
        <v>8.8182</v>
      </c>
      <c r="H659" s="304">
        <f t="shared" si="475"/>
        <v>0.6</v>
      </c>
      <c r="I659" s="327">
        <f t="shared" si="475"/>
        <v>49.44</v>
      </c>
      <c r="J659" s="303">
        <f t="shared" si="475"/>
        <v>49.44</v>
      </c>
      <c r="K659" s="304">
        <f t="shared" si="475"/>
        <v>0</v>
      </c>
      <c r="L659" s="305">
        <f t="shared" si="475"/>
        <v>0</v>
      </c>
      <c r="M659" s="328" t="s">
        <v>291</v>
      </c>
    </row>
    <row r="660" s="263" customFormat="1" ht="56" customHeight="1" spans="1:13">
      <c r="A660" s="306" t="s">
        <v>298</v>
      </c>
      <c r="B660" s="307" t="s">
        <v>298</v>
      </c>
      <c r="C660" s="308" t="s">
        <v>555</v>
      </c>
      <c r="D660" s="309">
        <f t="shared" si="472"/>
        <v>225.3696</v>
      </c>
      <c r="E660" s="310">
        <f t="shared" si="473"/>
        <v>175.9296</v>
      </c>
      <c r="F660" s="311">
        <v>166.5114</v>
      </c>
      <c r="G660" s="309">
        <v>8.8182</v>
      </c>
      <c r="H660" s="310">
        <v>0.6</v>
      </c>
      <c r="I660" s="329">
        <f t="shared" si="474"/>
        <v>49.44</v>
      </c>
      <c r="J660" s="309">
        <v>49.44</v>
      </c>
      <c r="K660" s="310">
        <v>0</v>
      </c>
      <c r="L660" s="311">
        <v>0</v>
      </c>
      <c r="M660" s="330" t="s">
        <v>1107</v>
      </c>
    </row>
    <row r="661" s="263" customFormat="1" ht="18.75" customHeight="1" spans="1:13">
      <c r="A661" s="294" t="s">
        <v>1108</v>
      </c>
      <c r="B661" s="295" t="s">
        <v>1109</v>
      </c>
      <c r="C661" s="296"/>
      <c r="D661" s="297">
        <f t="shared" ref="D661:L661" si="476">D662+D664</f>
        <v>1400.0051</v>
      </c>
      <c r="E661" s="298">
        <f t="shared" si="476"/>
        <v>689.4951</v>
      </c>
      <c r="F661" s="299">
        <f t="shared" si="476"/>
        <v>651.5511</v>
      </c>
      <c r="G661" s="297">
        <f t="shared" si="476"/>
        <v>0</v>
      </c>
      <c r="H661" s="298">
        <f t="shared" si="476"/>
        <v>37.944</v>
      </c>
      <c r="I661" s="325">
        <f t="shared" si="476"/>
        <v>710.51</v>
      </c>
      <c r="J661" s="297">
        <f t="shared" si="476"/>
        <v>30.51</v>
      </c>
      <c r="K661" s="298">
        <f t="shared" si="476"/>
        <v>0</v>
      </c>
      <c r="L661" s="299">
        <f t="shared" si="476"/>
        <v>680</v>
      </c>
      <c r="M661" s="326" t="s">
        <v>291</v>
      </c>
    </row>
    <row r="662" s="263" customFormat="1" ht="22" customHeight="1" spans="1:13">
      <c r="A662" s="300" t="s">
        <v>1110</v>
      </c>
      <c r="B662" s="301" t="s">
        <v>1111</v>
      </c>
      <c r="C662" s="302"/>
      <c r="D662" s="303">
        <f t="shared" ref="D662:L662" si="477">D663</f>
        <v>1319.0051</v>
      </c>
      <c r="E662" s="304">
        <f t="shared" si="477"/>
        <v>689.4951</v>
      </c>
      <c r="F662" s="305">
        <f t="shared" si="477"/>
        <v>651.5511</v>
      </c>
      <c r="G662" s="303">
        <f t="shared" si="477"/>
        <v>0</v>
      </c>
      <c r="H662" s="304">
        <f t="shared" si="477"/>
        <v>37.944</v>
      </c>
      <c r="I662" s="327">
        <f t="shared" si="477"/>
        <v>629.51</v>
      </c>
      <c r="J662" s="303">
        <f t="shared" si="477"/>
        <v>30.51</v>
      </c>
      <c r="K662" s="304">
        <f t="shared" si="477"/>
        <v>0</v>
      </c>
      <c r="L662" s="305">
        <f t="shared" si="477"/>
        <v>599</v>
      </c>
      <c r="M662" s="328" t="s">
        <v>291</v>
      </c>
    </row>
    <row r="663" s="263" customFormat="1" ht="37" customHeight="1" spans="1:13">
      <c r="A663" s="306" t="s">
        <v>298</v>
      </c>
      <c r="B663" s="307" t="s">
        <v>298</v>
      </c>
      <c r="C663" s="308" t="s">
        <v>555</v>
      </c>
      <c r="D663" s="309">
        <f t="shared" si="472"/>
        <v>1319.0051</v>
      </c>
      <c r="E663" s="310">
        <f t="shared" si="473"/>
        <v>689.4951</v>
      </c>
      <c r="F663" s="311">
        <v>651.5511</v>
      </c>
      <c r="G663" s="309">
        <v>0</v>
      </c>
      <c r="H663" s="310">
        <v>37.944</v>
      </c>
      <c r="I663" s="329">
        <f t="shared" si="474"/>
        <v>629.51</v>
      </c>
      <c r="J663" s="309">
        <v>30.51</v>
      </c>
      <c r="K663" s="310">
        <v>0</v>
      </c>
      <c r="L663" s="311">
        <v>599</v>
      </c>
      <c r="M663" s="330" t="s">
        <v>1112</v>
      </c>
    </row>
    <row r="664" s="263" customFormat="1" ht="22" customHeight="1" spans="1:13">
      <c r="A664" s="300" t="s">
        <v>1113</v>
      </c>
      <c r="B664" s="301" t="s">
        <v>1114</v>
      </c>
      <c r="C664" s="302"/>
      <c r="D664" s="303">
        <f t="shared" ref="D664:L664" si="478">D665</f>
        <v>81</v>
      </c>
      <c r="E664" s="304">
        <f t="shared" si="478"/>
        <v>0</v>
      </c>
      <c r="F664" s="305">
        <f t="shared" si="478"/>
        <v>0</v>
      </c>
      <c r="G664" s="303">
        <f t="shared" si="478"/>
        <v>0</v>
      </c>
      <c r="H664" s="304">
        <f t="shared" si="478"/>
        <v>0</v>
      </c>
      <c r="I664" s="327">
        <f t="shared" si="478"/>
        <v>81</v>
      </c>
      <c r="J664" s="303">
        <f t="shared" si="478"/>
        <v>0</v>
      </c>
      <c r="K664" s="304">
        <f t="shared" si="478"/>
        <v>0</v>
      </c>
      <c r="L664" s="305">
        <f t="shared" si="478"/>
        <v>81</v>
      </c>
      <c r="M664" s="328" t="s">
        <v>291</v>
      </c>
    </row>
    <row r="665" s="263" customFormat="1" ht="25" customHeight="1" spans="1:13">
      <c r="A665" s="306" t="s">
        <v>298</v>
      </c>
      <c r="B665" s="307" t="s">
        <v>298</v>
      </c>
      <c r="C665" s="308" t="s">
        <v>555</v>
      </c>
      <c r="D665" s="309">
        <f t="shared" ref="D665:D670" si="479">E665+I665</f>
        <v>81</v>
      </c>
      <c r="E665" s="310">
        <f t="shared" ref="E665:E670" si="480">SUBTOTAL(9,F665:H665)</f>
        <v>0</v>
      </c>
      <c r="F665" s="311">
        <v>0</v>
      </c>
      <c r="G665" s="309">
        <v>0</v>
      </c>
      <c r="H665" s="310">
        <v>0</v>
      </c>
      <c r="I665" s="329">
        <f t="shared" ref="I665:I670" si="481">SUBTOTAL(9,J665:L665)</f>
        <v>81</v>
      </c>
      <c r="J665" s="309">
        <v>0</v>
      </c>
      <c r="K665" s="310">
        <v>0</v>
      </c>
      <c r="L665" s="311">
        <v>81</v>
      </c>
      <c r="M665" s="330" t="s">
        <v>1115</v>
      </c>
    </row>
    <row r="666" s="263" customFormat="1" ht="18.75" customHeight="1" spans="1:13">
      <c r="A666" s="294" t="s">
        <v>1116</v>
      </c>
      <c r="B666" s="295" t="s">
        <v>1117</v>
      </c>
      <c r="C666" s="296"/>
      <c r="D666" s="297">
        <f t="shared" ref="D666:L666" si="482">D667+D669</f>
        <v>4179.9721</v>
      </c>
      <c r="E666" s="298">
        <f t="shared" si="482"/>
        <v>3217.5273</v>
      </c>
      <c r="F666" s="299">
        <f t="shared" si="482"/>
        <v>2815.5199</v>
      </c>
      <c r="G666" s="297">
        <f t="shared" si="482"/>
        <v>2.16</v>
      </c>
      <c r="H666" s="298">
        <f t="shared" si="482"/>
        <v>399.8474</v>
      </c>
      <c r="I666" s="325">
        <f t="shared" si="482"/>
        <v>962.4448</v>
      </c>
      <c r="J666" s="297">
        <f t="shared" si="482"/>
        <v>28.4448</v>
      </c>
      <c r="K666" s="298">
        <f t="shared" si="482"/>
        <v>0</v>
      </c>
      <c r="L666" s="299">
        <f t="shared" si="482"/>
        <v>934</v>
      </c>
      <c r="M666" s="326" t="s">
        <v>291</v>
      </c>
    </row>
    <row r="667" s="263" customFormat="1" ht="22" customHeight="1" spans="1:13">
      <c r="A667" s="300" t="s">
        <v>1118</v>
      </c>
      <c r="B667" s="301" t="s">
        <v>1119</v>
      </c>
      <c r="C667" s="302"/>
      <c r="D667" s="303">
        <f t="shared" ref="D667:L667" si="483">D668</f>
        <v>3187.8073</v>
      </c>
      <c r="E667" s="304">
        <f t="shared" si="483"/>
        <v>2943.8073</v>
      </c>
      <c r="F667" s="305">
        <f t="shared" si="483"/>
        <v>2815.5199</v>
      </c>
      <c r="G667" s="303">
        <f t="shared" si="483"/>
        <v>2.16</v>
      </c>
      <c r="H667" s="304">
        <f t="shared" si="483"/>
        <v>126.1274</v>
      </c>
      <c r="I667" s="327">
        <f t="shared" si="483"/>
        <v>244</v>
      </c>
      <c r="J667" s="303">
        <f t="shared" si="483"/>
        <v>0</v>
      </c>
      <c r="K667" s="304">
        <f t="shared" si="483"/>
        <v>0</v>
      </c>
      <c r="L667" s="305">
        <f t="shared" si="483"/>
        <v>244</v>
      </c>
      <c r="M667" s="328" t="s">
        <v>291</v>
      </c>
    </row>
    <row r="668" s="263" customFormat="1" ht="18.75" customHeight="1" spans="1:13">
      <c r="A668" s="306" t="s">
        <v>298</v>
      </c>
      <c r="B668" s="307" t="s">
        <v>298</v>
      </c>
      <c r="C668" s="308" t="s">
        <v>555</v>
      </c>
      <c r="D668" s="309">
        <f t="shared" si="479"/>
        <v>3187.8073</v>
      </c>
      <c r="E668" s="310">
        <f t="shared" si="480"/>
        <v>2943.8073</v>
      </c>
      <c r="F668" s="311">
        <v>2815.5199</v>
      </c>
      <c r="G668" s="309">
        <v>2.16</v>
      </c>
      <c r="H668" s="310">
        <v>126.1274</v>
      </c>
      <c r="I668" s="329">
        <f t="shared" si="481"/>
        <v>244</v>
      </c>
      <c r="J668" s="309">
        <v>0</v>
      </c>
      <c r="K668" s="310">
        <v>0</v>
      </c>
      <c r="L668" s="311">
        <v>244</v>
      </c>
      <c r="M668" s="330" t="s">
        <v>1120</v>
      </c>
    </row>
    <row r="669" s="263" customFormat="1" ht="27" customHeight="1" spans="1:13">
      <c r="A669" s="300" t="s">
        <v>1121</v>
      </c>
      <c r="B669" s="301" t="s">
        <v>1122</v>
      </c>
      <c r="C669" s="302"/>
      <c r="D669" s="303">
        <f t="shared" ref="D669:L669" si="484">D670</f>
        <v>992.1648</v>
      </c>
      <c r="E669" s="304">
        <f t="shared" si="484"/>
        <v>273.72</v>
      </c>
      <c r="F669" s="305">
        <f t="shared" si="484"/>
        <v>0</v>
      </c>
      <c r="G669" s="303">
        <f t="shared" si="484"/>
        <v>0</v>
      </c>
      <c r="H669" s="304">
        <f t="shared" si="484"/>
        <v>273.72</v>
      </c>
      <c r="I669" s="327">
        <f t="shared" si="484"/>
        <v>718.4448</v>
      </c>
      <c r="J669" s="303">
        <f t="shared" si="484"/>
        <v>28.4448</v>
      </c>
      <c r="K669" s="304">
        <f t="shared" si="484"/>
        <v>0</v>
      </c>
      <c r="L669" s="305">
        <f t="shared" si="484"/>
        <v>690</v>
      </c>
      <c r="M669" s="328" t="s">
        <v>291</v>
      </c>
    </row>
    <row r="670" s="263" customFormat="1" ht="61" customHeight="1" spans="1:13">
      <c r="A670" s="306" t="s">
        <v>298</v>
      </c>
      <c r="B670" s="307" t="s">
        <v>298</v>
      </c>
      <c r="C670" s="308" t="s">
        <v>555</v>
      </c>
      <c r="D670" s="309">
        <f t="shared" si="479"/>
        <v>992.1648</v>
      </c>
      <c r="E670" s="310">
        <f t="shared" si="480"/>
        <v>273.72</v>
      </c>
      <c r="F670" s="311">
        <v>0</v>
      </c>
      <c r="G670" s="309">
        <v>0</v>
      </c>
      <c r="H670" s="310">
        <v>273.72</v>
      </c>
      <c r="I670" s="329">
        <f t="shared" si="481"/>
        <v>718.4448</v>
      </c>
      <c r="J670" s="309">
        <v>28.4448</v>
      </c>
      <c r="K670" s="310">
        <v>0</v>
      </c>
      <c r="L670" s="311">
        <v>690</v>
      </c>
      <c r="M670" s="330" t="s">
        <v>1123</v>
      </c>
    </row>
    <row r="671" s="263" customFormat="1" ht="18.75" customHeight="1" spans="1:13">
      <c r="A671" s="294" t="s">
        <v>1124</v>
      </c>
      <c r="B671" s="295" t="s">
        <v>1125</v>
      </c>
      <c r="C671" s="296"/>
      <c r="D671" s="297">
        <f t="shared" ref="D671:L671" si="485">D672+D674+D676+D678+D680+D682</f>
        <v>2013.3661</v>
      </c>
      <c r="E671" s="298">
        <f t="shared" si="485"/>
        <v>1133.8111</v>
      </c>
      <c r="F671" s="299">
        <f t="shared" si="485"/>
        <v>1084.6038</v>
      </c>
      <c r="G671" s="297">
        <f t="shared" si="485"/>
        <v>20.042</v>
      </c>
      <c r="H671" s="298">
        <f t="shared" si="485"/>
        <v>29.1653</v>
      </c>
      <c r="I671" s="325">
        <f t="shared" si="485"/>
        <v>879.555</v>
      </c>
      <c r="J671" s="297">
        <f t="shared" si="485"/>
        <v>290.725</v>
      </c>
      <c r="K671" s="298">
        <f t="shared" si="485"/>
        <v>0</v>
      </c>
      <c r="L671" s="299">
        <f t="shared" si="485"/>
        <v>588.83</v>
      </c>
      <c r="M671" s="326" t="s">
        <v>291</v>
      </c>
    </row>
    <row r="672" s="263" customFormat="1" ht="22" customHeight="1" spans="1:13">
      <c r="A672" s="300" t="s">
        <v>1126</v>
      </c>
      <c r="B672" s="301" t="s">
        <v>1127</v>
      </c>
      <c r="C672" s="302"/>
      <c r="D672" s="303">
        <f t="shared" ref="D672:L672" si="486">D673</f>
        <v>544.9461</v>
      </c>
      <c r="E672" s="304">
        <f t="shared" si="486"/>
        <v>457.8061</v>
      </c>
      <c r="F672" s="305">
        <f t="shared" si="486"/>
        <v>432.9081</v>
      </c>
      <c r="G672" s="303">
        <f t="shared" si="486"/>
        <v>11.75</v>
      </c>
      <c r="H672" s="304">
        <f t="shared" si="486"/>
        <v>13.148</v>
      </c>
      <c r="I672" s="327">
        <f t="shared" si="486"/>
        <v>87.14</v>
      </c>
      <c r="J672" s="303">
        <f t="shared" si="486"/>
        <v>87.14</v>
      </c>
      <c r="K672" s="304">
        <f t="shared" si="486"/>
        <v>0</v>
      </c>
      <c r="L672" s="305">
        <f t="shared" si="486"/>
        <v>0</v>
      </c>
      <c r="M672" s="328" t="s">
        <v>291</v>
      </c>
    </row>
    <row r="673" s="263" customFormat="1" ht="38" customHeight="1" spans="1:13">
      <c r="A673" s="306" t="s">
        <v>298</v>
      </c>
      <c r="B673" s="307" t="s">
        <v>298</v>
      </c>
      <c r="C673" s="308" t="s">
        <v>555</v>
      </c>
      <c r="D673" s="309">
        <f t="shared" ref="D673:D677" si="487">E673+I673</f>
        <v>544.9461</v>
      </c>
      <c r="E673" s="310">
        <f t="shared" ref="E673:E677" si="488">SUBTOTAL(9,F673:H673)</f>
        <v>457.8061</v>
      </c>
      <c r="F673" s="311">
        <v>432.9081</v>
      </c>
      <c r="G673" s="309">
        <v>11.75</v>
      </c>
      <c r="H673" s="310">
        <v>13.148</v>
      </c>
      <c r="I673" s="329">
        <f t="shared" ref="I673:I677" si="489">SUBTOTAL(9,J673:L673)</f>
        <v>87.14</v>
      </c>
      <c r="J673" s="309">
        <v>87.14</v>
      </c>
      <c r="K673" s="310">
        <v>0</v>
      </c>
      <c r="L673" s="311">
        <v>0</v>
      </c>
      <c r="M673" s="330" t="s">
        <v>1128</v>
      </c>
    </row>
    <row r="674" s="263" customFormat="1" ht="22" customHeight="1" spans="1:13">
      <c r="A674" s="300" t="s">
        <v>1129</v>
      </c>
      <c r="B674" s="301" t="s">
        <v>1130</v>
      </c>
      <c r="C674" s="302"/>
      <c r="D674" s="303">
        <f t="shared" ref="D674:L674" si="490">D675</f>
        <v>74.5381</v>
      </c>
      <c r="E674" s="304">
        <f t="shared" si="490"/>
        <v>68.0581</v>
      </c>
      <c r="F674" s="305">
        <f t="shared" si="490"/>
        <v>57.7709</v>
      </c>
      <c r="G674" s="303">
        <f t="shared" si="490"/>
        <v>8.292</v>
      </c>
      <c r="H674" s="304">
        <f t="shared" si="490"/>
        <v>1.9952</v>
      </c>
      <c r="I674" s="327">
        <f t="shared" si="490"/>
        <v>6.48</v>
      </c>
      <c r="J674" s="303">
        <f t="shared" si="490"/>
        <v>6.48</v>
      </c>
      <c r="K674" s="304">
        <f t="shared" si="490"/>
        <v>0</v>
      </c>
      <c r="L674" s="305">
        <f t="shared" si="490"/>
        <v>0</v>
      </c>
      <c r="M674" s="328" t="s">
        <v>291</v>
      </c>
    </row>
    <row r="675" s="263" customFormat="1" ht="18.75" customHeight="1" spans="1:13">
      <c r="A675" s="306" t="s">
        <v>298</v>
      </c>
      <c r="B675" s="307" t="s">
        <v>298</v>
      </c>
      <c r="C675" s="308" t="s">
        <v>555</v>
      </c>
      <c r="D675" s="309">
        <f t="shared" si="487"/>
        <v>74.5381</v>
      </c>
      <c r="E675" s="310">
        <f t="shared" si="488"/>
        <v>68.0581</v>
      </c>
      <c r="F675" s="311">
        <v>57.7709</v>
      </c>
      <c r="G675" s="309">
        <v>8.292</v>
      </c>
      <c r="H675" s="310">
        <v>1.9952</v>
      </c>
      <c r="I675" s="329">
        <f t="shared" si="489"/>
        <v>6.48</v>
      </c>
      <c r="J675" s="309">
        <v>6.48</v>
      </c>
      <c r="K675" s="310">
        <v>0</v>
      </c>
      <c r="L675" s="311">
        <v>0</v>
      </c>
      <c r="M675" s="330" t="s">
        <v>1131</v>
      </c>
    </row>
    <row r="676" s="263" customFormat="1" ht="22" customHeight="1" spans="1:13">
      <c r="A676" s="300" t="s">
        <v>1132</v>
      </c>
      <c r="B676" s="301" t="s">
        <v>1133</v>
      </c>
      <c r="C676" s="302"/>
      <c r="D676" s="303">
        <f t="shared" ref="D676:L676" si="491">D677</f>
        <v>642.1569</v>
      </c>
      <c r="E676" s="304">
        <f t="shared" si="491"/>
        <v>607.9469</v>
      </c>
      <c r="F676" s="305">
        <f t="shared" si="491"/>
        <v>593.9248</v>
      </c>
      <c r="G676" s="303">
        <f t="shared" si="491"/>
        <v>0</v>
      </c>
      <c r="H676" s="304">
        <f t="shared" si="491"/>
        <v>14.0221</v>
      </c>
      <c r="I676" s="327">
        <f t="shared" si="491"/>
        <v>34.21</v>
      </c>
      <c r="J676" s="303">
        <f t="shared" si="491"/>
        <v>34.21</v>
      </c>
      <c r="K676" s="304">
        <f t="shared" si="491"/>
        <v>0</v>
      </c>
      <c r="L676" s="305">
        <f t="shared" si="491"/>
        <v>0</v>
      </c>
      <c r="M676" s="328" t="s">
        <v>291</v>
      </c>
    </row>
    <row r="677" s="263" customFormat="1" ht="47" customHeight="1" spans="1:13">
      <c r="A677" s="306" t="s">
        <v>298</v>
      </c>
      <c r="B677" s="307" t="s">
        <v>298</v>
      </c>
      <c r="C677" s="308" t="s">
        <v>555</v>
      </c>
      <c r="D677" s="309">
        <f t="shared" si="487"/>
        <v>642.1569</v>
      </c>
      <c r="E677" s="310">
        <f t="shared" si="488"/>
        <v>607.9469</v>
      </c>
      <c r="F677" s="311">
        <v>593.9248</v>
      </c>
      <c r="G677" s="309">
        <v>0</v>
      </c>
      <c r="H677" s="310">
        <v>14.0221</v>
      </c>
      <c r="I677" s="329">
        <f t="shared" si="489"/>
        <v>34.21</v>
      </c>
      <c r="J677" s="309">
        <v>34.21</v>
      </c>
      <c r="K677" s="310">
        <v>0</v>
      </c>
      <c r="L677" s="311">
        <v>0</v>
      </c>
      <c r="M677" s="330" t="s">
        <v>1134</v>
      </c>
    </row>
    <row r="678" s="263" customFormat="1" ht="22" customHeight="1" spans="1:13">
      <c r="A678" s="300" t="s">
        <v>1135</v>
      </c>
      <c r="B678" s="301" t="s">
        <v>1136</v>
      </c>
      <c r="C678" s="302"/>
      <c r="D678" s="303">
        <f t="shared" ref="D678:L678" si="492">D679</f>
        <v>395.535</v>
      </c>
      <c r="E678" s="304">
        <f t="shared" si="492"/>
        <v>0</v>
      </c>
      <c r="F678" s="305">
        <f t="shared" si="492"/>
        <v>0</v>
      </c>
      <c r="G678" s="303">
        <f t="shared" si="492"/>
        <v>0</v>
      </c>
      <c r="H678" s="304">
        <f t="shared" si="492"/>
        <v>0</v>
      </c>
      <c r="I678" s="327">
        <f t="shared" si="492"/>
        <v>395.535</v>
      </c>
      <c r="J678" s="303">
        <f t="shared" si="492"/>
        <v>104.895</v>
      </c>
      <c r="K678" s="304">
        <f t="shared" si="492"/>
        <v>0</v>
      </c>
      <c r="L678" s="305">
        <f t="shared" si="492"/>
        <v>290.64</v>
      </c>
      <c r="M678" s="328" t="s">
        <v>291</v>
      </c>
    </row>
    <row r="679" s="263" customFormat="1" ht="39" customHeight="1" spans="1:13">
      <c r="A679" s="306" t="s">
        <v>298</v>
      </c>
      <c r="B679" s="307" t="s">
        <v>298</v>
      </c>
      <c r="C679" s="308" t="s">
        <v>555</v>
      </c>
      <c r="D679" s="309">
        <f t="shared" ref="D679:D683" si="493">E679+I679</f>
        <v>395.535</v>
      </c>
      <c r="E679" s="310">
        <f t="shared" ref="E679:E683" si="494">SUBTOTAL(9,F679:H679)</f>
        <v>0</v>
      </c>
      <c r="F679" s="311">
        <v>0</v>
      </c>
      <c r="G679" s="309">
        <v>0</v>
      </c>
      <c r="H679" s="310">
        <v>0</v>
      </c>
      <c r="I679" s="329">
        <f t="shared" ref="I679:I683" si="495">SUBTOTAL(9,J679:L679)</f>
        <v>395.535</v>
      </c>
      <c r="J679" s="309">
        <v>104.895</v>
      </c>
      <c r="K679" s="310">
        <v>0</v>
      </c>
      <c r="L679" s="311">
        <v>290.64</v>
      </c>
      <c r="M679" s="330" t="s">
        <v>1137</v>
      </c>
    </row>
    <row r="680" s="263" customFormat="1" ht="22" customHeight="1" spans="1:13">
      <c r="A680" s="300" t="s">
        <v>1138</v>
      </c>
      <c r="B680" s="301" t="s">
        <v>1139</v>
      </c>
      <c r="C680" s="302"/>
      <c r="D680" s="303">
        <f t="shared" ref="D680:L680" si="496">D681</f>
        <v>203.13</v>
      </c>
      <c r="E680" s="304">
        <f t="shared" si="496"/>
        <v>0</v>
      </c>
      <c r="F680" s="305">
        <f t="shared" si="496"/>
        <v>0</v>
      </c>
      <c r="G680" s="303">
        <f t="shared" si="496"/>
        <v>0</v>
      </c>
      <c r="H680" s="304">
        <f t="shared" si="496"/>
        <v>0</v>
      </c>
      <c r="I680" s="327">
        <f t="shared" si="496"/>
        <v>203.13</v>
      </c>
      <c r="J680" s="303">
        <f t="shared" si="496"/>
        <v>48</v>
      </c>
      <c r="K680" s="304">
        <f t="shared" si="496"/>
        <v>0</v>
      </c>
      <c r="L680" s="305">
        <f t="shared" si="496"/>
        <v>155.13</v>
      </c>
      <c r="M680" s="328" t="s">
        <v>291</v>
      </c>
    </row>
    <row r="681" s="263" customFormat="1" ht="35" customHeight="1" spans="1:13">
      <c r="A681" s="306" t="s">
        <v>298</v>
      </c>
      <c r="B681" s="307" t="s">
        <v>298</v>
      </c>
      <c r="C681" s="308" t="s">
        <v>555</v>
      </c>
      <c r="D681" s="309">
        <f t="shared" si="493"/>
        <v>203.13</v>
      </c>
      <c r="E681" s="310">
        <f t="shared" si="494"/>
        <v>0</v>
      </c>
      <c r="F681" s="311">
        <v>0</v>
      </c>
      <c r="G681" s="309">
        <v>0</v>
      </c>
      <c r="H681" s="310">
        <v>0</v>
      </c>
      <c r="I681" s="329">
        <f t="shared" si="495"/>
        <v>203.13</v>
      </c>
      <c r="J681" s="309">
        <v>48</v>
      </c>
      <c r="K681" s="310">
        <v>0</v>
      </c>
      <c r="L681" s="311">
        <v>155.13</v>
      </c>
      <c r="M681" s="330" t="s">
        <v>1140</v>
      </c>
    </row>
    <row r="682" s="263" customFormat="1" ht="22" customHeight="1" spans="1:13">
      <c r="A682" s="300" t="s">
        <v>1141</v>
      </c>
      <c r="B682" s="301" t="s">
        <v>1142</v>
      </c>
      <c r="C682" s="302"/>
      <c r="D682" s="303">
        <f t="shared" ref="D682:L682" si="497">D683</f>
        <v>153.06</v>
      </c>
      <c r="E682" s="304">
        <f t="shared" si="497"/>
        <v>0</v>
      </c>
      <c r="F682" s="305">
        <f t="shared" si="497"/>
        <v>0</v>
      </c>
      <c r="G682" s="303">
        <f t="shared" si="497"/>
        <v>0</v>
      </c>
      <c r="H682" s="304">
        <f t="shared" si="497"/>
        <v>0</v>
      </c>
      <c r="I682" s="327">
        <f t="shared" si="497"/>
        <v>153.06</v>
      </c>
      <c r="J682" s="303">
        <f t="shared" si="497"/>
        <v>10</v>
      </c>
      <c r="K682" s="304">
        <f t="shared" si="497"/>
        <v>0</v>
      </c>
      <c r="L682" s="305">
        <f t="shared" si="497"/>
        <v>143.06</v>
      </c>
      <c r="M682" s="328" t="s">
        <v>291</v>
      </c>
    </row>
    <row r="683" s="263" customFormat="1" ht="39" customHeight="1" spans="1:13">
      <c r="A683" s="306" t="s">
        <v>298</v>
      </c>
      <c r="B683" s="307" t="s">
        <v>298</v>
      </c>
      <c r="C683" s="308" t="s">
        <v>555</v>
      </c>
      <c r="D683" s="309">
        <f t="shared" si="493"/>
        <v>153.06</v>
      </c>
      <c r="E683" s="310">
        <f t="shared" si="494"/>
        <v>0</v>
      </c>
      <c r="F683" s="311">
        <v>0</v>
      </c>
      <c r="G683" s="309">
        <v>0</v>
      </c>
      <c r="H683" s="310">
        <v>0</v>
      </c>
      <c r="I683" s="329">
        <f t="shared" si="495"/>
        <v>153.06</v>
      </c>
      <c r="J683" s="309">
        <v>10</v>
      </c>
      <c r="K683" s="310">
        <v>0</v>
      </c>
      <c r="L683" s="311">
        <v>143.06</v>
      </c>
      <c r="M683" s="330" t="s">
        <v>1143</v>
      </c>
    </row>
    <row r="684" s="263" customFormat="1" ht="18.75" customHeight="1" spans="1:13">
      <c r="A684" s="294" t="s">
        <v>1144</v>
      </c>
      <c r="B684" s="295" t="s">
        <v>1145</v>
      </c>
      <c r="C684" s="296"/>
      <c r="D684" s="297">
        <f t="shared" ref="D684:L684" si="498">D685+D688+D690</f>
        <v>1825.182</v>
      </c>
      <c r="E684" s="298">
        <f t="shared" si="498"/>
        <v>767.8944</v>
      </c>
      <c r="F684" s="299">
        <f t="shared" si="498"/>
        <v>730.4597</v>
      </c>
      <c r="G684" s="297">
        <f t="shared" si="498"/>
        <v>37.4347</v>
      </c>
      <c r="H684" s="298">
        <f t="shared" si="498"/>
        <v>0</v>
      </c>
      <c r="I684" s="325">
        <f t="shared" si="498"/>
        <v>1057.2876</v>
      </c>
      <c r="J684" s="297">
        <f t="shared" si="498"/>
        <v>706.2876</v>
      </c>
      <c r="K684" s="298">
        <f t="shared" si="498"/>
        <v>0</v>
      </c>
      <c r="L684" s="299">
        <f t="shared" si="498"/>
        <v>351</v>
      </c>
      <c r="M684" s="326" t="s">
        <v>291</v>
      </c>
    </row>
    <row r="685" s="263" customFormat="1" ht="22" customHeight="1" spans="1:13">
      <c r="A685" s="300" t="s">
        <v>1146</v>
      </c>
      <c r="B685" s="301" t="s">
        <v>1147</v>
      </c>
      <c r="C685" s="302"/>
      <c r="D685" s="303">
        <f t="shared" ref="D685:L685" si="499">SUM(D686:D687)</f>
        <v>761.6774</v>
      </c>
      <c r="E685" s="304">
        <f t="shared" si="499"/>
        <v>718.4774</v>
      </c>
      <c r="F685" s="305">
        <f t="shared" si="499"/>
        <v>684.3718</v>
      </c>
      <c r="G685" s="303">
        <f t="shared" si="499"/>
        <v>34.1056</v>
      </c>
      <c r="H685" s="304">
        <f t="shared" si="499"/>
        <v>0</v>
      </c>
      <c r="I685" s="327">
        <f t="shared" si="499"/>
        <v>43.2</v>
      </c>
      <c r="J685" s="303">
        <f t="shared" si="499"/>
        <v>43.2</v>
      </c>
      <c r="K685" s="304">
        <f t="shared" si="499"/>
        <v>0</v>
      </c>
      <c r="L685" s="305">
        <f t="shared" si="499"/>
        <v>0</v>
      </c>
      <c r="M685" s="328" t="s">
        <v>291</v>
      </c>
    </row>
    <row r="686" s="263" customFormat="1" ht="18.75" customHeight="1" spans="1:13">
      <c r="A686" s="306" t="s">
        <v>298</v>
      </c>
      <c r="B686" s="307" t="s">
        <v>298</v>
      </c>
      <c r="C686" s="308" t="s">
        <v>555</v>
      </c>
      <c r="D686" s="309">
        <f t="shared" ref="D686:D689" si="500">E686+I686</f>
        <v>43.2</v>
      </c>
      <c r="E686" s="310">
        <f t="shared" ref="E686:E691" si="501">SUBTOTAL(9,F686:H686)</f>
        <v>0</v>
      </c>
      <c r="F686" s="311">
        <v>0</v>
      </c>
      <c r="G686" s="309">
        <v>0</v>
      </c>
      <c r="H686" s="310">
        <v>0</v>
      </c>
      <c r="I686" s="329">
        <f t="shared" ref="I686:I691" si="502">SUBTOTAL(9,J686:L686)</f>
        <v>43.2</v>
      </c>
      <c r="J686" s="309">
        <v>43.2</v>
      </c>
      <c r="K686" s="310">
        <v>0</v>
      </c>
      <c r="L686" s="311">
        <v>0</v>
      </c>
      <c r="M686" s="330" t="s">
        <v>1148</v>
      </c>
    </row>
    <row r="687" s="263" customFormat="1" ht="18.75" customHeight="1" spans="1:13">
      <c r="A687" s="306"/>
      <c r="B687" s="307"/>
      <c r="C687" s="308" t="s">
        <v>301</v>
      </c>
      <c r="D687" s="309">
        <f t="shared" si="500"/>
        <v>718.4774</v>
      </c>
      <c r="E687" s="310">
        <f>SUM(F687:H687)</f>
        <v>718.4774</v>
      </c>
      <c r="F687" s="310">
        <v>684.3718</v>
      </c>
      <c r="G687" s="310">
        <v>34.1056</v>
      </c>
      <c r="H687" s="310"/>
      <c r="I687" s="329"/>
      <c r="J687" s="309"/>
      <c r="K687" s="310"/>
      <c r="L687" s="311"/>
      <c r="M687" s="330"/>
    </row>
    <row r="688" s="263" customFormat="1" ht="22" customHeight="1" spans="1:13">
      <c r="A688" s="300" t="s">
        <v>1149</v>
      </c>
      <c r="B688" s="301" t="s">
        <v>1150</v>
      </c>
      <c r="C688" s="302"/>
      <c r="D688" s="303">
        <f t="shared" ref="D688:L688" si="503">D689</f>
        <v>351</v>
      </c>
      <c r="E688" s="304">
        <f t="shared" si="503"/>
        <v>0</v>
      </c>
      <c r="F688" s="305">
        <f t="shared" si="503"/>
        <v>0</v>
      </c>
      <c r="G688" s="303">
        <f t="shared" si="503"/>
        <v>0</v>
      </c>
      <c r="H688" s="304">
        <f t="shared" si="503"/>
        <v>0</v>
      </c>
      <c r="I688" s="327">
        <f t="shared" si="503"/>
        <v>351</v>
      </c>
      <c r="J688" s="303">
        <f t="shared" si="503"/>
        <v>0</v>
      </c>
      <c r="K688" s="304">
        <f t="shared" si="503"/>
        <v>0</v>
      </c>
      <c r="L688" s="305">
        <f t="shared" si="503"/>
        <v>351</v>
      </c>
      <c r="M688" s="328" t="s">
        <v>291</v>
      </c>
    </row>
    <row r="689" s="263" customFormat="1" ht="22" customHeight="1" spans="1:13">
      <c r="A689" s="306" t="s">
        <v>298</v>
      </c>
      <c r="B689" s="307" t="s">
        <v>298</v>
      </c>
      <c r="C689" s="308" t="s">
        <v>555</v>
      </c>
      <c r="D689" s="309">
        <f t="shared" si="500"/>
        <v>351</v>
      </c>
      <c r="E689" s="310">
        <f t="shared" si="501"/>
        <v>0</v>
      </c>
      <c r="F689" s="311">
        <v>0</v>
      </c>
      <c r="G689" s="309">
        <v>0</v>
      </c>
      <c r="H689" s="310">
        <v>0</v>
      </c>
      <c r="I689" s="329">
        <f t="shared" si="502"/>
        <v>351</v>
      </c>
      <c r="J689" s="309">
        <v>0</v>
      </c>
      <c r="K689" s="310">
        <v>0</v>
      </c>
      <c r="L689" s="311">
        <v>351</v>
      </c>
      <c r="M689" s="330" t="s">
        <v>1151</v>
      </c>
    </row>
    <row r="690" s="263" customFormat="1" ht="34" customHeight="1" spans="1:13">
      <c r="A690" s="300" t="s">
        <v>1152</v>
      </c>
      <c r="B690" s="301" t="s">
        <v>1153</v>
      </c>
      <c r="C690" s="302"/>
      <c r="D690" s="303">
        <f t="shared" ref="D690:L690" si="504">D691</f>
        <v>712.5046</v>
      </c>
      <c r="E690" s="304">
        <f t="shared" si="504"/>
        <v>49.417</v>
      </c>
      <c r="F690" s="305">
        <f t="shared" si="504"/>
        <v>46.0879</v>
      </c>
      <c r="G690" s="303">
        <f t="shared" si="504"/>
        <v>3.3291</v>
      </c>
      <c r="H690" s="304">
        <f t="shared" si="504"/>
        <v>0</v>
      </c>
      <c r="I690" s="327">
        <f t="shared" si="504"/>
        <v>663.0876</v>
      </c>
      <c r="J690" s="303">
        <f t="shared" si="504"/>
        <v>663.0876</v>
      </c>
      <c r="K690" s="304">
        <f t="shared" si="504"/>
        <v>0</v>
      </c>
      <c r="L690" s="305">
        <f t="shared" si="504"/>
        <v>0</v>
      </c>
      <c r="M690" s="328" t="s">
        <v>291</v>
      </c>
    </row>
    <row r="691" s="263" customFormat="1" ht="189" customHeight="1" spans="1:13">
      <c r="A691" s="306" t="s">
        <v>298</v>
      </c>
      <c r="B691" s="307" t="s">
        <v>298</v>
      </c>
      <c r="C691" s="308" t="s">
        <v>555</v>
      </c>
      <c r="D691" s="309">
        <f>E691+I691</f>
        <v>712.5046</v>
      </c>
      <c r="E691" s="310">
        <f t="shared" si="501"/>
        <v>49.417</v>
      </c>
      <c r="F691" s="311">
        <v>46.0879</v>
      </c>
      <c r="G691" s="309">
        <v>3.3291</v>
      </c>
      <c r="H691" s="310">
        <v>0</v>
      </c>
      <c r="I691" s="329">
        <f t="shared" si="502"/>
        <v>663.0876</v>
      </c>
      <c r="J691" s="309">
        <v>663.0876</v>
      </c>
      <c r="K691" s="310">
        <v>0</v>
      </c>
      <c r="L691" s="311">
        <v>0</v>
      </c>
      <c r="M691" s="330" t="s">
        <v>1154</v>
      </c>
    </row>
    <row r="692" s="263" customFormat="1" ht="18.75" customHeight="1" spans="1:13">
      <c r="A692" s="294" t="s">
        <v>1155</v>
      </c>
      <c r="B692" s="295" t="s">
        <v>1156</v>
      </c>
      <c r="C692" s="296"/>
      <c r="D692" s="297">
        <f t="shared" ref="D692:L692" si="505">D693</f>
        <v>35.2</v>
      </c>
      <c r="E692" s="298">
        <f t="shared" si="505"/>
        <v>0</v>
      </c>
      <c r="F692" s="299">
        <f t="shared" si="505"/>
        <v>0</v>
      </c>
      <c r="G692" s="297">
        <f t="shared" si="505"/>
        <v>0</v>
      </c>
      <c r="H692" s="298">
        <f t="shared" si="505"/>
        <v>0</v>
      </c>
      <c r="I692" s="325">
        <f t="shared" si="505"/>
        <v>35.2</v>
      </c>
      <c r="J692" s="297">
        <f t="shared" si="505"/>
        <v>35.2</v>
      </c>
      <c r="K692" s="298">
        <f t="shared" si="505"/>
        <v>0</v>
      </c>
      <c r="L692" s="299">
        <f t="shared" si="505"/>
        <v>0</v>
      </c>
      <c r="M692" s="326" t="s">
        <v>291</v>
      </c>
    </row>
    <row r="693" s="263" customFormat="1" ht="22" customHeight="1" spans="1:13">
      <c r="A693" s="300" t="s">
        <v>1157</v>
      </c>
      <c r="B693" s="301" t="s">
        <v>1158</v>
      </c>
      <c r="C693" s="302"/>
      <c r="D693" s="303">
        <f t="shared" ref="D693:L693" si="506">D694</f>
        <v>35.2</v>
      </c>
      <c r="E693" s="304">
        <f t="shared" si="506"/>
        <v>0</v>
      </c>
      <c r="F693" s="305">
        <f t="shared" si="506"/>
        <v>0</v>
      </c>
      <c r="G693" s="303">
        <f t="shared" si="506"/>
        <v>0</v>
      </c>
      <c r="H693" s="304">
        <f t="shared" si="506"/>
        <v>0</v>
      </c>
      <c r="I693" s="327">
        <f t="shared" si="506"/>
        <v>35.2</v>
      </c>
      <c r="J693" s="303">
        <f t="shared" si="506"/>
        <v>35.2</v>
      </c>
      <c r="K693" s="304">
        <f t="shared" si="506"/>
        <v>0</v>
      </c>
      <c r="L693" s="305">
        <f t="shared" si="506"/>
        <v>0</v>
      </c>
      <c r="M693" s="328" t="s">
        <v>291</v>
      </c>
    </row>
    <row r="694" s="263" customFormat="1" ht="34" customHeight="1" spans="1:13">
      <c r="A694" s="306" t="s">
        <v>298</v>
      </c>
      <c r="B694" s="307" t="s">
        <v>298</v>
      </c>
      <c r="C694" s="308" t="s">
        <v>559</v>
      </c>
      <c r="D694" s="309">
        <f>E694+I694</f>
        <v>35.2</v>
      </c>
      <c r="E694" s="310">
        <f>SUBTOTAL(9,F694:H694)</f>
        <v>0</v>
      </c>
      <c r="F694" s="311">
        <v>0</v>
      </c>
      <c r="G694" s="309">
        <v>0</v>
      </c>
      <c r="H694" s="310">
        <v>0</v>
      </c>
      <c r="I694" s="329">
        <f>SUBTOTAL(9,J694:L694)</f>
        <v>35.2</v>
      </c>
      <c r="J694" s="309">
        <v>35.2</v>
      </c>
      <c r="K694" s="310">
        <v>0</v>
      </c>
      <c r="L694" s="311">
        <v>0</v>
      </c>
      <c r="M694" s="330" t="s">
        <v>1159</v>
      </c>
    </row>
    <row r="695" s="263" customFormat="1" ht="25" customHeight="1" spans="1:13">
      <c r="A695" s="294" t="s">
        <v>1160</v>
      </c>
      <c r="B695" s="295" t="s">
        <v>1161</v>
      </c>
      <c r="C695" s="296"/>
      <c r="D695" s="297">
        <f t="shared" ref="D695:L695" si="507">D696</f>
        <v>18318.5955</v>
      </c>
      <c r="E695" s="298">
        <f t="shared" si="507"/>
        <v>0</v>
      </c>
      <c r="F695" s="299">
        <f t="shared" si="507"/>
        <v>0</v>
      </c>
      <c r="G695" s="297">
        <f t="shared" si="507"/>
        <v>0</v>
      </c>
      <c r="H695" s="298">
        <f t="shared" si="507"/>
        <v>0</v>
      </c>
      <c r="I695" s="325">
        <f t="shared" si="507"/>
        <v>18318.5955</v>
      </c>
      <c r="J695" s="297">
        <f t="shared" si="507"/>
        <v>944.5955</v>
      </c>
      <c r="K695" s="298">
        <f t="shared" si="507"/>
        <v>0</v>
      </c>
      <c r="L695" s="299">
        <f t="shared" si="507"/>
        <v>17374</v>
      </c>
      <c r="M695" s="326" t="s">
        <v>291</v>
      </c>
    </row>
    <row r="696" s="263" customFormat="1" ht="22" customHeight="1" spans="1:13">
      <c r="A696" s="300" t="s">
        <v>1162</v>
      </c>
      <c r="B696" s="301" t="s">
        <v>1163</v>
      </c>
      <c r="C696" s="302"/>
      <c r="D696" s="303">
        <f t="shared" ref="D696:L696" si="508">D697</f>
        <v>18318.5955</v>
      </c>
      <c r="E696" s="304">
        <f t="shared" si="508"/>
        <v>0</v>
      </c>
      <c r="F696" s="305">
        <f t="shared" si="508"/>
        <v>0</v>
      </c>
      <c r="G696" s="303">
        <f t="shared" si="508"/>
        <v>0</v>
      </c>
      <c r="H696" s="304">
        <f t="shared" si="508"/>
        <v>0</v>
      </c>
      <c r="I696" s="327">
        <f t="shared" si="508"/>
        <v>18318.5955</v>
      </c>
      <c r="J696" s="303">
        <f t="shared" si="508"/>
        <v>944.5955</v>
      </c>
      <c r="K696" s="304">
        <f t="shared" si="508"/>
        <v>0</v>
      </c>
      <c r="L696" s="305">
        <f t="shared" si="508"/>
        <v>17374</v>
      </c>
      <c r="M696" s="328" t="s">
        <v>291</v>
      </c>
    </row>
    <row r="697" s="263" customFormat="1" ht="39" customHeight="1" spans="1:13">
      <c r="A697" s="306" t="s">
        <v>298</v>
      </c>
      <c r="B697" s="307" t="s">
        <v>298</v>
      </c>
      <c r="C697" s="308" t="s">
        <v>559</v>
      </c>
      <c r="D697" s="309">
        <f>E697+I697</f>
        <v>18318.5955</v>
      </c>
      <c r="E697" s="310">
        <f>SUBTOTAL(9,F697:H697)</f>
        <v>0</v>
      </c>
      <c r="F697" s="311">
        <v>0</v>
      </c>
      <c r="G697" s="309">
        <v>0</v>
      </c>
      <c r="H697" s="310">
        <v>0</v>
      </c>
      <c r="I697" s="329">
        <f>SUBTOTAL(9,J697:L697)</f>
        <v>18318.5955</v>
      </c>
      <c r="J697" s="309">
        <v>944.5955</v>
      </c>
      <c r="K697" s="310">
        <v>0</v>
      </c>
      <c r="L697" s="311">
        <v>17374</v>
      </c>
      <c r="M697" s="330" t="s">
        <v>1164</v>
      </c>
    </row>
    <row r="698" s="263" customFormat="1" ht="18.75" customHeight="1" spans="1:13">
      <c r="A698" s="294" t="s">
        <v>1165</v>
      </c>
      <c r="B698" s="295" t="s">
        <v>1166</v>
      </c>
      <c r="C698" s="296"/>
      <c r="D698" s="297">
        <f t="shared" ref="D698:L698" si="509">D699</f>
        <v>1546</v>
      </c>
      <c r="E698" s="298">
        <f t="shared" si="509"/>
        <v>0</v>
      </c>
      <c r="F698" s="299">
        <f t="shared" si="509"/>
        <v>0</v>
      </c>
      <c r="G698" s="297">
        <f t="shared" si="509"/>
        <v>0</v>
      </c>
      <c r="H698" s="298">
        <f t="shared" si="509"/>
        <v>0</v>
      </c>
      <c r="I698" s="325">
        <f t="shared" si="509"/>
        <v>1546</v>
      </c>
      <c r="J698" s="297">
        <f t="shared" si="509"/>
        <v>0</v>
      </c>
      <c r="K698" s="298">
        <f t="shared" si="509"/>
        <v>0</v>
      </c>
      <c r="L698" s="299">
        <f t="shared" si="509"/>
        <v>1546</v>
      </c>
      <c r="M698" s="326" t="s">
        <v>291</v>
      </c>
    </row>
    <row r="699" s="263" customFormat="1" ht="22" customHeight="1" spans="1:13">
      <c r="A699" s="300" t="s">
        <v>1167</v>
      </c>
      <c r="B699" s="301" t="s">
        <v>1168</v>
      </c>
      <c r="C699" s="302"/>
      <c r="D699" s="303">
        <f t="shared" ref="D699:L699" si="510">D700</f>
        <v>1546</v>
      </c>
      <c r="E699" s="304">
        <f t="shared" si="510"/>
        <v>0</v>
      </c>
      <c r="F699" s="305">
        <f t="shared" si="510"/>
        <v>0</v>
      </c>
      <c r="G699" s="303">
        <f t="shared" si="510"/>
        <v>0</v>
      </c>
      <c r="H699" s="304">
        <f t="shared" si="510"/>
        <v>0</v>
      </c>
      <c r="I699" s="327">
        <f t="shared" si="510"/>
        <v>1546</v>
      </c>
      <c r="J699" s="303">
        <f t="shared" si="510"/>
        <v>0</v>
      </c>
      <c r="K699" s="304">
        <f t="shared" si="510"/>
        <v>0</v>
      </c>
      <c r="L699" s="305">
        <f t="shared" si="510"/>
        <v>1546</v>
      </c>
      <c r="M699" s="328" t="s">
        <v>291</v>
      </c>
    </row>
    <row r="700" s="263" customFormat="1" ht="18.75" customHeight="1" spans="1:13">
      <c r="A700" s="306" t="s">
        <v>298</v>
      </c>
      <c r="B700" s="307" t="s">
        <v>298</v>
      </c>
      <c r="C700" s="308" t="s">
        <v>559</v>
      </c>
      <c r="D700" s="309">
        <f>E700+I700</f>
        <v>1546</v>
      </c>
      <c r="E700" s="310">
        <f>SUBTOTAL(9,F700:H700)</f>
        <v>0</v>
      </c>
      <c r="F700" s="311">
        <v>0</v>
      </c>
      <c r="G700" s="309">
        <v>0</v>
      </c>
      <c r="H700" s="310">
        <v>0</v>
      </c>
      <c r="I700" s="329">
        <f>SUBTOTAL(9,J700:L700)</f>
        <v>1546</v>
      </c>
      <c r="J700" s="309">
        <v>0</v>
      </c>
      <c r="K700" s="310">
        <v>0</v>
      </c>
      <c r="L700" s="311">
        <v>1546</v>
      </c>
      <c r="M700" s="330" t="s">
        <v>1169</v>
      </c>
    </row>
    <row r="701" s="263" customFormat="1" ht="18.75" customHeight="1" spans="1:13">
      <c r="A701" s="294" t="s">
        <v>1170</v>
      </c>
      <c r="B701" s="295" t="s">
        <v>1171</v>
      </c>
      <c r="C701" s="296"/>
      <c r="D701" s="297">
        <f t="shared" ref="D701:L701" si="511">D702</f>
        <v>21.15</v>
      </c>
      <c r="E701" s="298">
        <f t="shared" si="511"/>
        <v>0</v>
      </c>
      <c r="F701" s="299">
        <f t="shared" si="511"/>
        <v>0</v>
      </c>
      <c r="G701" s="297">
        <f t="shared" si="511"/>
        <v>0</v>
      </c>
      <c r="H701" s="298">
        <f t="shared" si="511"/>
        <v>0</v>
      </c>
      <c r="I701" s="325">
        <f t="shared" si="511"/>
        <v>21.15</v>
      </c>
      <c r="J701" s="297">
        <f t="shared" si="511"/>
        <v>0</v>
      </c>
      <c r="K701" s="298">
        <f t="shared" si="511"/>
        <v>0</v>
      </c>
      <c r="L701" s="299">
        <f t="shared" si="511"/>
        <v>21.15</v>
      </c>
      <c r="M701" s="326" t="s">
        <v>291</v>
      </c>
    </row>
    <row r="702" s="263" customFormat="1" ht="22" customHeight="1" spans="1:13">
      <c r="A702" s="300" t="s">
        <v>1172</v>
      </c>
      <c r="B702" s="301" t="s">
        <v>1173</v>
      </c>
      <c r="C702" s="302"/>
      <c r="D702" s="303">
        <f t="shared" ref="D702:L702" si="512">D703</f>
        <v>21.15</v>
      </c>
      <c r="E702" s="304">
        <f t="shared" si="512"/>
        <v>0</v>
      </c>
      <c r="F702" s="305">
        <f t="shared" si="512"/>
        <v>0</v>
      </c>
      <c r="G702" s="303">
        <f t="shared" si="512"/>
        <v>0</v>
      </c>
      <c r="H702" s="304">
        <f t="shared" si="512"/>
        <v>0</v>
      </c>
      <c r="I702" s="327">
        <f t="shared" si="512"/>
        <v>21.15</v>
      </c>
      <c r="J702" s="303">
        <f t="shared" si="512"/>
        <v>0</v>
      </c>
      <c r="K702" s="304">
        <f t="shared" si="512"/>
        <v>0</v>
      </c>
      <c r="L702" s="305">
        <f t="shared" si="512"/>
        <v>21.15</v>
      </c>
      <c r="M702" s="328" t="s">
        <v>291</v>
      </c>
    </row>
    <row r="703" s="263" customFormat="1" ht="18.75" customHeight="1" spans="1:13">
      <c r="A703" s="306" t="s">
        <v>298</v>
      </c>
      <c r="B703" s="307" t="s">
        <v>298</v>
      </c>
      <c r="C703" s="308" t="s">
        <v>558</v>
      </c>
      <c r="D703" s="309">
        <f t="shared" ref="D703:D708" si="513">E703+I703</f>
        <v>21.15</v>
      </c>
      <c r="E703" s="310">
        <f t="shared" ref="E703:E708" si="514">SUBTOTAL(9,F703:H703)</f>
        <v>0</v>
      </c>
      <c r="F703" s="311">
        <v>0</v>
      </c>
      <c r="G703" s="309">
        <v>0</v>
      </c>
      <c r="H703" s="310">
        <v>0</v>
      </c>
      <c r="I703" s="329">
        <f t="shared" ref="I703:I708" si="515">SUBTOTAL(9,J703:L703)</f>
        <v>21.15</v>
      </c>
      <c r="J703" s="309">
        <v>0</v>
      </c>
      <c r="K703" s="310">
        <v>0</v>
      </c>
      <c r="L703" s="311">
        <v>21.15</v>
      </c>
      <c r="M703" s="330" t="s">
        <v>1174</v>
      </c>
    </row>
    <row r="704" s="263" customFormat="1" ht="18.75" customHeight="1" spans="1:13">
      <c r="A704" s="294" t="s">
        <v>1175</v>
      </c>
      <c r="B704" s="295" t="s">
        <v>1176</v>
      </c>
      <c r="C704" s="296"/>
      <c r="D704" s="297">
        <f t="shared" ref="D704:L704" si="516">D705+D707+D709</f>
        <v>401.8098</v>
      </c>
      <c r="E704" s="298">
        <f t="shared" si="516"/>
        <v>358.8098</v>
      </c>
      <c r="F704" s="299">
        <f t="shared" si="516"/>
        <v>337.5157</v>
      </c>
      <c r="G704" s="297">
        <f t="shared" si="516"/>
        <v>16.11</v>
      </c>
      <c r="H704" s="298">
        <f t="shared" si="516"/>
        <v>5.1841</v>
      </c>
      <c r="I704" s="325">
        <f t="shared" si="516"/>
        <v>43</v>
      </c>
      <c r="J704" s="297">
        <f t="shared" si="516"/>
        <v>26</v>
      </c>
      <c r="K704" s="298">
        <f t="shared" si="516"/>
        <v>0</v>
      </c>
      <c r="L704" s="299">
        <f t="shared" si="516"/>
        <v>17</v>
      </c>
      <c r="M704" s="326" t="s">
        <v>291</v>
      </c>
    </row>
    <row r="705" s="263" customFormat="1" ht="22" customHeight="1" spans="1:13">
      <c r="A705" s="300" t="s">
        <v>1177</v>
      </c>
      <c r="B705" s="301" t="s">
        <v>1178</v>
      </c>
      <c r="C705" s="302"/>
      <c r="D705" s="303">
        <f t="shared" ref="D705:L705" si="517">D706</f>
        <v>99.0478</v>
      </c>
      <c r="E705" s="304">
        <f t="shared" si="517"/>
        <v>79.0478</v>
      </c>
      <c r="F705" s="305">
        <f t="shared" si="517"/>
        <v>67.1137</v>
      </c>
      <c r="G705" s="303">
        <f t="shared" si="517"/>
        <v>7.23</v>
      </c>
      <c r="H705" s="304">
        <f t="shared" si="517"/>
        <v>4.7041</v>
      </c>
      <c r="I705" s="327">
        <f t="shared" si="517"/>
        <v>20</v>
      </c>
      <c r="J705" s="303">
        <f t="shared" si="517"/>
        <v>20</v>
      </c>
      <c r="K705" s="304">
        <f t="shared" si="517"/>
        <v>0</v>
      </c>
      <c r="L705" s="305">
        <f t="shared" si="517"/>
        <v>0</v>
      </c>
      <c r="M705" s="328" t="s">
        <v>291</v>
      </c>
    </row>
    <row r="706" s="263" customFormat="1" ht="18.75" customHeight="1" spans="1:13">
      <c r="A706" s="306" t="s">
        <v>298</v>
      </c>
      <c r="B706" s="307" t="s">
        <v>298</v>
      </c>
      <c r="C706" s="308" t="s">
        <v>559</v>
      </c>
      <c r="D706" s="309">
        <f t="shared" si="513"/>
        <v>99.0478</v>
      </c>
      <c r="E706" s="310">
        <f t="shared" si="514"/>
        <v>79.0478</v>
      </c>
      <c r="F706" s="311">
        <v>67.1137</v>
      </c>
      <c r="G706" s="309">
        <v>7.23</v>
      </c>
      <c r="H706" s="310">
        <v>4.7041</v>
      </c>
      <c r="I706" s="329">
        <f t="shared" si="515"/>
        <v>20</v>
      </c>
      <c r="J706" s="309">
        <v>20</v>
      </c>
      <c r="K706" s="310">
        <v>0</v>
      </c>
      <c r="L706" s="311">
        <v>0</v>
      </c>
      <c r="M706" s="330" t="s">
        <v>1179</v>
      </c>
    </row>
    <row r="707" s="263" customFormat="1" ht="22" customHeight="1" spans="1:13">
      <c r="A707" s="300" t="s">
        <v>1180</v>
      </c>
      <c r="B707" s="301" t="s">
        <v>1181</v>
      </c>
      <c r="C707" s="302"/>
      <c r="D707" s="303">
        <f t="shared" ref="D707:L707" si="518">D708</f>
        <v>279.762</v>
      </c>
      <c r="E707" s="304">
        <f t="shared" si="518"/>
        <v>279.762</v>
      </c>
      <c r="F707" s="305">
        <f t="shared" si="518"/>
        <v>270.402</v>
      </c>
      <c r="G707" s="303">
        <f t="shared" si="518"/>
        <v>8.88</v>
      </c>
      <c r="H707" s="304">
        <f t="shared" si="518"/>
        <v>0.48</v>
      </c>
      <c r="I707" s="327">
        <f t="shared" si="518"/>
        <v>0</v>
      </c>
      <c r="J707" s="303">
        <f t="shared" si="518"/>
        <v>0</v>
      </c>
      <c r="K707" s="304">
        <f t="shared" si="518"/>
        <v>0</v>
      </c>
      <c r="L707" s="305">
        <f t="shared" si="518"/>
        <v>0</v>
      </c>
      <c r="M707" s="328" t="s">
        <v>291</v>
      </c>
    </row>
    <row r="708" s="263" customFormat="1" ht="18.75" customHeight="1" spans="1:13">
      <c r="A708" s="306" t="s">
        <v>298</v>
      </c>
      <c r="B708" s="307" t="s">
        <v>298</v>
      </c>
      <c r="C708" s="308" t="s">
        <v>559</v>
      </c>
      <c r="D708" s="309">
        <f t="shared" si="513"/>
        <v>279.762</v>
      </c>
      <c r="E708" s="310">
        <f t="shared" si="514"/>
        <v>279.762</v>
      </c>
      <c r="F708" s="311">
        <v>270.402</v>
      </c>
      <c r="G708" s="309">
        <v>8.88</v>
      </c>
      <c r="H708" s="310">
        <v>0.48</v>
      </c>
      <c r="I708" s="329">
        <f t="shared" si="515"/>
        <v>0</v>
      </c>
      <c r="J708" s="309">
        <v>0</v>
      </c>
      <c r="K708" s="310">
        <v>0</v>
      </c>
      <c r="L708" s="311">
        <v>0</v>
      </c>
      <c r="M708" s="330" t="s">
        <v>291</v>
      </c>
    </row>
    <row r="709" s="263" customFormat="1" ht="22" customHeight="1" spans="1:13">
      <c r="A709" s="300" t="s">
        <v>1182</v>
      </c>
      <c r="B709" s="301" t="s">
        <v>1183</v>
      </c>
      <c r="C709" s="302"/>
      <c r="D709" s="303">
        <f t="shared" ref="D709:L709" si="519">D710</f>
        <v>23</v>
      </c>
      <c r="E709" s="304">
        <f t="shared" si="519"/>
        <v>0</v>
      </c>
      <c r="F709" s="305">
        <f t="shared" si="519"/>
        <v>0</v>
      </c>
      <c r="G709" s="303">
        <f t="shared" si="519"/>
        <v>0</v>
      </c>
      <c r="H709" s="304">
        <f t="shared" si="519"/>
        <v>0</v>
      </c>
      <c r="I709" s="327">
        <f t="shared" si="519"/>
        <v>23</v>
      </c>
      <c r="J709" s="303">
        <f t="shared" si="519"/>
        <v>6</v>
      </c>
      <c r="K709" s="304">
        <f t="shared" si="519"/>
        <v>0</v>
      </c>
      <c r="L709" s="305">
        <f t="shared" si="519"/>
        <v>17</v>
      </c>
      <c r="M709" s="328" t="s">
        <v>291</v>
      </c>
    </row>
    <row r="710" s="263" customFormat="1" ht="35" customHeight="1" spans="1:13">
      <c r="A710" s="306" t="s">
        <v>298</v>
      </c>
      <c r="B710" s="307" t="s">
        <v>298</v>
      </c>
      <c r="C710" s="308" t="s">
        <v>559</v>
      </c>
      <c r="D710" s="309">
        <f>E710+I710</f>
        <v>23</v>
      </c>
      <c r="E710" s="310">
        <f>SUBTOTAL(9,F710:H710)</f>
        <v>0</v>
      </c>
      <c r="F710" s="311">
        <v>0</v>
      </c>
      <c r="G710" s="309">
        <v>0</v>
      </c>
      <c r="H710" s="310">
        <v>0</v>
      </c>
      <c r="I710" s="329">
        <f>SUBTOTAL(9,J710:L710)</f>
        <v>23</v>
      </c>
      <c r="J710" s="309">
        <v>6</v>
      </c>
      <c r="K710" s="310">
        <v>0</v>
      </c>
      <c r="L710" s="311">
        <v>17</v>
      </c>
      <c r="M710" s="330" t="s">
        <v>1184</v>
      </c>
    </row>
    <row r="711" s="263" customFormat="1" ht="18.75" customHeight="1" spans="1:13">
      <c r="A711" s="294" t="s">
        <v>1185</v>
      </c>
      <c r="B711" s="295" t="s">
        <v>1186</v>
      </c>
      <c r="C711" s="296"/>
      <c r="D711" s="297">
        <f t="shared" ref="D711:L711" si="520">D712</f>
        <v>7.2</v>
      </c>
      <c r="E711" s="298">
        <f t="shared" si="520"/>
        <v>0</v>
      </c>
      <c r="F711" s="299">
        <f t="shared" si="520"/>
        <v>0</v>
      </c>
      <c r="G711" s="297">
        <f t="shared" si="520"/>
        <v>0</v>
      </c>
      <c r="H711" s="298">
        <f t="shared" si="520"/>
        <v>0</v>
      </c>
      <c r="I711" s="325">
        <f t="shared" si="520"/>
        <v>7.2</v>
      </c>
      <c r="J711" s="297">
        <f t="shared" si="520"/>
        <v>7.2</v>
      </c>
      <c r="K711" s="298">
        <f t="shared" si="520"/>
        <v>0</v>
      </c>
      <c r="L711" s="299">
        <f t="shared" si="520"/>
        <v>0</v>
      </c>
      <c r="M711" s="326" t="s">
        <v>291</v>
      </c>
    </row>
    <row r="712" s="263" customFormat="1" ht="22" customHeight="1" spans="1:13">
      <c r="A712" s="300" t="s">
        <v>1187</v>
      </c>
      <c r="B712" s="301" t="s">
        <v>1188</v>
      </c>
      <c r="C712" s="302"/>
      <c r="D712" s="303">
        <f t="shared" ref="D712:L712" si="521">D713</f>
        <v>7.2</v>
      </c>
      <c r="E712" s="304">
        <f t="shared" si="521"/>
        <v>0</v>
      </c>
      <c r="F712" s="305">
        <f t="shared" si="521"/>
        <v>0</v>
      </c>
      <c r="G712" s="303">
        <f t="shared" si="521"/>
        <v>0</v>
      </c>
      <c r="H712" s="304">
        <f t="shared" si="521"/>
        <v>0</v>
      </c>
      <c r="I712" s="327">
        <f t="shared" si="521"/>
        <v>7.2</v>
      </c>
      <c r="J712" s="303">
        <f t="shared" si="521"/>
        <v>7.2</v>
      </c>
      <c r="K712" s="304">
        <f t="shared" si="521"/>
        <v>0</v>
      </c>
      <c r="L712" s="305">
        <f t="shared" si="521"/>
        <v>0</v>
      </c>
      <c r="M712" s="328" t="s">
        <v>291</v>
      </c>
    </row>
    <row r="713" s="263" customFormat="1" ht="18.75" customHeight="1" spans="1:13">
      <c r="A713" s="306" t="s">
        <v>298</v>
      </c>
      <c r="B713" s="307" t="s">
        <v>298</v>
      </c>
      <c r="C713" s="308" t="s">
        <v>555</v>
      </c>
      <c r="D713" s="309">
        <f>E713+I713</f>
        <v>7.2</v>
      </c>
      <c r="E713" s="310">
        <f>SUBTOTAL(9,F713:H713)</f>
        <v>0</v>
      </c>
      <c r="F713" s="311">
        <v>0</v>
      </c>
      <c r="G713" s="309">
        <v>0</v>
      </c>
      <c r="H713" s="310">
        <v>0</v>
      </c>
      <c r="I713" s="329">
        <f>SUBTOTAL(9,J713:L713)</f>
        <v>7.2</v>
      </c>
      <c r="J713" s="309">
        <v>7.2</v>
      </c>
      <c r="K713" s="310">
        <v>0</v>
      </c>
      <c r="L713" s="311">
        <v>0</v>
      </c>
      <c r="M713" s="330" t="s">
        <v>1189</v>
      </c>
    </row>
    <row r="714" s="263" customFormat="1" ht="18.75" customHeight="1" spans="1:13">
      <c r="A714" s="288" t="s">
        <v>1190</v>
      </c>
      <c r="B714" s="289" t="s">
        <v>1191</v>
      </c>
      <c r="C714" s="290"/>
      <c r="D714" s="291">
        <f t="shared" ref="D714:L714" si="522">D715+D718+D721+D725+D730+D733+D736</f>
        <v>7429.9961</v>
      </c>
      <c r="E714" s="292">
        <f t="shared" si="522"/>
        <v>294.873</v>
      </c>
      <c r="F714" s="293">
        <f t="shared" si="522"/>
        <v>251.9748</v>
      </c>
      <c r="G714" s="291">
        <f t="shared" si="522"/>
        <v>36.354</v>
      </c>
      <c r="H714" s="292">
        <f t="shared" si="522"/>
        <v>6.5442</v>
      </c>
      <c r="I714" s="323">
        <f t="shared" si="522"/>
        <v>7135.1231</v>
      </c>
      <c r="J714" s="291">
        <f t="shared" si="522"/>
        <v>55.3131</v>
      </c>
      <c r="K714" s="292">
        <f t="shared" si="522"/>
        <v>2794.45</v>
      </c>
      <c r="L714" s="293">
        <f t="shared" si="522"/>
        <v>4285.36</v>
      </c>
      <c r="M714" s="324" t="s">
        <v>291</v>
      </c>
    </row>
    <row r="715" s="263" customFormat="1" ht="18.75" customHeight="1" spans="1:13">
      <c r="A715" s="294" t="s">
        <v>1192</v>
      </c>
      <c r="B715" s="295" t="s">
        <v>1193</v>
      </c>
      <c r="C715" s="296"/>
      <c r="D715" s="297">
        <f t="shared" ref="D715:L715" si="523">D716</f>
        <v>294.873</v>
      </c>
      <c r="E715" s="298">
        <f t="shared" si="523"/>
        <v>294.873</v>
      </c>
      <c r="F715" s="299">
        <f t="shared" si="523"/>
        <v>251.9748</v>
      </c>
      <c r="G715" s="297">
        <f t="shared" si="523"/>
        <v>36.354</v>
      </c>
      <c r="H715" s="298">
        <f t="shared" si="523"/>
        <v>6.5442</v>
      </c>
      <c r="I715" s="325">
        <f t="shared" si="523"/>
        <v>0</v>
      </c>
      <c r="J715" s="297">
        <f t="shared" si="523"/>
        <v>0</v>
      </c>
      <c r="K715" s="298">
        <f t="shared" si="523"/>
        <v>0</v>
      </c>
      <c r="L715" s="299">
        <f t="shared" si="523"/>
        <v>0</v>
      </c>
      <c r="M715" s="326" t="s">
        <v>291</v>
      </c>
    </row>
    <row r="716" s="263" customFormat="1" ht="22" customHeight="1" spans="1:13">
      <c r="A716" s="300" t="s">
        <v>1194</v>
      </c>
      <c r="B716" s="301" t="s">
        <v>1195</v>
      </c>
      <c r="C716" s="302"/>
      <c r="D716" s="303">
        <f t="shared" ref="D716:L716" si="524">D717</f>
        <v>294.873</v>
      </c>
      <c r="E716" s="304">
        <f t="shared" si="524"/>
        <v>294.873</v>
      </c>
      <c r="F716" s="305">
        <f t="shared" si="524"/>
        <v>251.9748</v>
      </c>
      <c r="G716" s="303">
        <f t="shared" si="524"/>
        <v>36.354</v>
      </c>
      <c r="H716" s="304">
        <f t="shared" si="524"/>
        <v>6.5442</v>
      </c>
      <c r="I716" s="327">
        <f t="shared" si="524"/>
        <v>0</v>
      </c>
      <c r="J716" s="303">
        <f t="shared" si="524"/>
        <v>0</v>
      </c>
      <c r="K716" s="304">
        <f t="shared" si="524"/>
        <v>0</v>
      </c>
      <c r="L716" s="305">
        <f t="shared" si="524"/>
        <v>0</v>
      </c>
      <c r="M716" s="328" t="s">
        <v>291</v>
      </c>
    </row>
    <row r="717" s="263" customFormat="1" ht="23" customHeight="1" spans="1:13">
      <c r="A717" s="306" t="s">
        <v>298</v>
      </c>
      <c r="B717" s="307" t="s">
        <v>298</v>
      </c>
      <c r="C717" s="312" t="s">
        <v>548</v>
      </c>
      <c r="D717" s="309">
        <f>E717+I717</f>
        <v>294.873</v>
      </c>
      <c r="E717" s="310">
        <f>SUBTOTAL(9,F717:H717)</f>
        <v>294.873</v>
      </c>
      <c r="F717" s="311">
        <v>251.9748</v>
      </c>
      <c r="G717" s="309">
        <v>36.354</v>
      </c>
      <c r="H717" s="310">
        <v>6.5442</v>
      </c>
      <c r="I717" s="329">
        <f>SUBTOTAL(9,J717:L717)</f>
        <v>0</v>
      </c>
      <c r="J717" s="309">
        <v>0</v>
      </c>
      <c r="K717" s="310">
        <v>0</v>
      </c>
      <c r="L717" s="311">
        <v>0</v>
      </c>
      <c r="M717" s="330" t="s">
        <v>291</v>
      </c>
    </row>
    <row r="718" s="263" customFormat="1" ht="18.75" customHeight="1" spans="1:13">
      <c r="A718" s="294" t="s">
        <v>1196</v>
      </c>
      <c r="B718" s="295" t="s">
        <v>1197</v>
      </c>
      <c r="C718" s="331"/>
      <c r="D718" s="297">
        <f t="shared" ref="D718:L718" si="525">D719</f>
        <v>50.16</v>
      </c>
      <c r="E718" s="298">
        <f t="shared" si="525"/>
        <v>0</v>
      </c>
      <c r="F718" s="299">
        <f t="shared" si="525"/>
        <v>0</v>
      </c>
      <c r="G718" s="297">
        <f t="shared" si="525"/>
        <v>0</v>
      </c>
      <c r="H718" s="298">
        <f t="shared" si="525"/>
        <v>0</v>
      </c>
      <c r="I718" s="325">
        <f t="shared" si="525"/>
        <v>50.16</v>
      </c>
      <c r="J718" s="297">
        <f t="shared" si="525"/>
        <v>50.16</v>
      </c>
      <c r="K718" s="298">
        <f t="shared" si="525"/>
        <v>0</v>
      </c>
      <c r="L718" s="299">
        <f t="shared" si="525"/>
        <v>0</v>
      </c>
      <c r="M718" s="326" t="s">
        <v>291</v>
      </c>
    </row>
    <row r="719" s="263" customFormat="1" ht="22" customHeight="1" spans="1:13">
      <c r="A719" s="300" t="s">
        <v>1198</v>
      </c>
      <c r="B719" s="301" t="s">
        <v>1199</v>
      </c>
      <c r="C719" s="332"/>
      <c r="D719" s="303">
        <f t="shared" ref="D719:L719" si="526">D720</f>
        <v>50.16</v>
      </c>
      <c r="E719" s="304">
        <f t="shared" si="526"/>
        <v>0</v>
      </c>
      <c r="F719" s="305">
        <f t="shared" si="526"/>
        <v>0</v>
      </c>
      <c r="G719" s="303">
        <f t="shared" si="526"/>
        <v>0</v>
      </c>
      <c r="H719" s="304">
        <f t="shared" si="526"/>
        <v>0</v>
      </c>
      <c r="I719" s="327">
        <f t="shared" si="526"/>
        <v>50.16</v>
      </c>
      <c r="J719" s="303">
        <f t="shared" si="526"/>
        <v>50.16</v>
      </c>
      <c r="K719" s="304">
        <f t="shared" si="526"/>
        <v>0</v>
      </c>
      <c r="L719" s="305">
        <f t="shared" si="526"/>
        <v>0</v>
      </c>
      <c r="M719" s="328" t="s">
        <v>291</v>
      </c>
    </row>
    <row r="720" s="263" customFormat="1" ht="47" customHeight="1" spans="1:13">
      <c r="A720" s="306" t="s">
        <v>298</v>
      </c>
      <c r="B720" s="307" t="s">
        <v>298</v>
      </c>
      <c r="C720" s="312" t="s">
        <v>548</v>
      </c>
      <c r="D720" s="309">
        <f t="shared" ref="D720:D724" si="527">E720+I720</f>
        <v>50.16</v>
      </c>
      <c r="E720" s="310">
        <f t="shared" ref="E720:E724" si="528">SUBTOTAL(9,F720:H720)</f>
        <v>0</v>
      </c>
      <c r="F720" s="311">
        <v>0</v>
      </c>
      <c r="G720" s="309">
        <v>0</v>
      </c>
      <c r="H720" s="310">
        <v>0</v>
      </c>
      <c r="I720" s="329">
        <f t="shared" ref="I720:I724" si="529">SUBTOTAL(9,J720:L720)</f>
        <v>50.16</v>
      </c>
      <c r="J720" s="309">
        <v>50.16</v>
      </c>
      <c r="K720" s="310">
        <v>0</v>
      </c>
      <c r="L720" s="311">
        <v>0</v>
      </c>
      <c r="M720" s="330" t="s">
        <v>1200</v>
      </c>
    </row>
    <row r="721" s="263" customFormat="1" ht="18.75" customHeight="1" spans="1:13">
      <c r="A721" s="294" t="s">
        <v>1201</v>
      </c>
      <c r="B721" s="295" t="s">
        <v>1202</v>
      </c>
      <c r="C721" s="296"/>
      <c r="D721" s="297">
        <f t="shared" ref="D721:L721" si="530">D722</f>
        <v>144.45</v>
      </c>
      <c r="E721" s="298">
        <f t="shared" si="530"/>
        <v>0</v>
      </c>
      <c r="F721" s="299">
        <f t="shared" si="530"/>
        <v>0</v>
      </c>
      <c r="G721" s="297">
        <f t="shared" si="530"/>
        <v>0</v>
      </c>
      <c r="H721" s="298">
        <f t="shared" si="530"/>
        <v>0</v>
      </c>
      <c r="I721" s="325">
        <f t="shared" si="530"/>
        <v>144.45</v>
      </c>
      <c r="J721" s="297">
        <f t="shared" si="530"/>
        <v>0</v>
      </c>
      <c r="K721" s="298">
        <f t="shared" si="530"/>
        <v>44.45</v>
      </c>
      <c r="L721" s="299">
        <f t="shared" si="530"/>
        <v>100</v>
      </c>
      <c r="M721" s="326" t="s">
        <v>291</v>
      </c>
    </row>
    <row r="722" s="263" customFormat="1" ht="22" customHeight="1" spans="1:13">
      <c r="A722" s="300" t="s">
        <v>1203</v>
      </c>
      <c r="B722" s="301" t="s">
        <v>1204</v>
      </c>
      <c r="C722" s="302"/>
      <c r="D722" s="303">
        <f t="shared" ref="D722:L722" si="531">SUM(D723:D724)</f>
        <v>144.45</v>
      </c>
      <c r="E722" s="304">
        <f t="shared" si="531"/>
        <v>0</v>
      </c>
      <c r="F722" s="305">
        <f t="shared" si="531"/>
        <v>0</v>
      </c>
      <c r="G722" s="303">
        <f t="shared" si="531"/>
        <v>0</v>
      </c>
      <c r="H722" s="304">
        <f t="shared" si="531"/>
        <v>0</v>
      </c>
      <c r="I722" s="327">
        <f t="shared" si="531"/>
        <v>144.45</v>
      </c>
      <c r="J722" s="303">
        <f t="shared" si="531"/>
        <v>0</v>
      </c>
      <c r="K722" s="304">
        <f t="shared" si="531"/>
        <v>44.45</v>
      </c>
      <c r="L722" s="305">
        <f t="shared" si="531"/>
        <v>100</v>
      </c>
      <c r="M722" s="328" t="s">
        <v>291</v>
      </c>
    </row>
    <row r="723" s="263" customFormat="1" ht="26" customHeight="1" spans="1:13">
      <c r="A723" s="306" t="s">
        <v>298</v>
      </c>
      <c r="B723" s="307" t="s">
        <v>298</v>
      </c>
      <c r="C723" s="308" t="s">
        <v>546</v>
      </c>
      <c r="D723" s="309">
        <f t="shared" si="527"/>
        <v>100</v>
      </c>
      <c r="E723" s="310">
        <f t="shared" si="528"/>
        <v>0</v>
      </c>
      <c r="F723" s="311">
        <v>0</v>
      </c>
      <c r="G723" s="309">
        <v>0</v>
      </c>
      <c r="H723" s="310">
        <v>0</v>
      </c>
      <c r="I723" s="329">
        <f t="shared" si="529"/>
        <v>100</v>
      </c>
      <c r="J723" s="309">
        <v>0</v>
      </c>
      <c r="K723" s="310">
        <v>0</v>
      </c>
      <c r="L723" s="311">
        <v>100</v>
      </c>
      <c r="M723" s="330" t="s">
        <v>1205</v>
      </c>
    </row>
    <row r="724" s="263" customFormat="1" ht="18.75" customHeight="1" spans="1:13">
      <c r="A724" s="306" t="s">
        <v>298</v>
      </c>
      <c r="B724" s="307" t="s">
        <v>298</v>
      </c>
      <c r="C724" s="308"/>
      <c r="D724" s="309">
        <f t="shared" si="527"/>
        <v>44.45</v>
      </c>
      <c r="E724" s="310">
        <f t="shared" si="528"/>
        <v>0</v>
      </c>
      <c r="F724" s="311">
        <v>0</v>
      </c>
      <c r="G724" s="309">
        <v>0</v>
      </c>
      <c r="H724" s="310">
        <v>0</v>
      </c>
      <c r="I724" s="329">
        <f t="shared" si="529"/>
        <v>44.45</v>
      </c>
      <c r="J724" s="309">
        <v>0</v>
      </c>
      <c r="K724" s="310">
        <v>44.45</v>
      </c>
      <c r="L724" s="311">
        <v>0</v>
      </c>
      <c r="M724" s="330" t="s">
        <v>1206</v>
      </c>
    </row>
    <row r="725" s="263" customFormat="1" ht="18.75" customHeight="1" spans="1:13">
      <c r="A725" s="294" t="s">
        <v>1207</v>
      </c>
      <c r="B725" s="295" t="s">
        <v>1208</v>
      </c>
      <c r="C725" s="296"/>
      <c r="D725" s="297">
        <f t="shared" ref="D725:L725" si="532">D726+D728</f>
        <v>5500</v>
      </c>
      <c r="E725" s="298">
        <f t="shared" si="532"/>
        <v>0</v>
      </c>
      <c r="F725" s="299">
        <f t="shared" si="532"/>
        <v>0</v>
      </c>
      <c r="G725" s="297">
        <f t="shared" si="532"/>
        <v>0</v>
      </c>
      <c r="H725" s="298">
        <f t="shared" si="532"/>
        <v>0</v>
      </c>
      <c r="I725" s="325">
        <f t="shared" si="532"/>
        <v>5500</v>
      </c>
      <c r="J725" s="297">
        <f t="shared" si="532"/>
        <v>0</v>
      </c>
      <c r="K725" s="298">
        <f t="shared" si="532"/>
        <v>2750</v>
      </c>
      <c r="L725" s="299">
        <f t="shared" si="532"/>
        <v>2750</v>
      </c>
      <c r="M725" s="326" t="s">
        <v>291</v>
      </c>
    </row>
    <row r="726" s="263" customFormat="1" ht="22" customHeight="1" spans="1:13">
      <c r="A726" s="300" t="s">
        <v>1209</v>
      </c>
      <c r="B726" s="301" t="s">
        <v>1210</v>
      </c>
      <c r="C726" s="302"/>
      <c r="D726" s="303">
        <f t="shared" ref="D726:L726" si="533">D727</f>
        <v>2750</v>
      </c>
      <c r="E726" s="304">
        <f t="shared" si="533"/>
        <v>0</v>
      </c>
      <c r="F726" s="305">
        <f t="shared" si="533"/>
        <v>0</v>
      </c>
      <c r="G726" s="303">
        <f t="shared" si="533"/>
        <v>0</v>
      </c>
      <c r="H726" s="304">
        <f t="shared" si="533"/>
        <v>0</v>
      </c>
      <c r="I726" s="327">
        <f t="shared" si="533"/>
        <v>2750</v>
      </c>
      <c r="J726" s="303">
        <f t="shared" si="533"/>
        <v>0</v>
      </c>
      <c r="K726" s="304">
        <f t="shared" si="533"/>
        <v>0</v>
      </c>
      <c r="L726" s="305">
        <f t="shared" si="533"/>
        <v>2750</v>
      </c>
      <c r="M726" s="328" t="s">
        <v>291</v>
      </c>
    </row>
    <row r="727" s="263" customFormat="1" ht="26" customHeight="1" spans="1:13">
      <c r="A727" s="306" t="s">
        <v>298</v>
      </c>
      <c r="B727" s="307" t="s">
        <v>298</v>
      </c>
      <c r="C727" s="308" t="s">
        <v>561</v>
      </c>
      <c r="D727" s="309">
        <f t="shared" ref="D727:D732" si="534">E727+I727</f>
        <v>2750</v>
      </c>
      <c r="E727" s="310">
        <f t="shared" ref="E727:E732" si="535">SUBTOTAL(9,F727:H727)</f>
        <v>0</v>
      </c>
      <c r="F727" s="311">
        <v>0</v>
      </c>
      <c r="G727" s="309">
        <v>0</v>
      </c>
      <c r="H727" s="310">
        <v>0</v>
      </c>
      <c r="I727" s="329">
        <f t="shared" ref="I727:I732" si="536">SUBTOTAL(9,J727:L727)</f>
        <v>2750</v>
      </c>
      <c r="J727" s="309">
        <v>0</v>
      </c>
      <c r="K727" s="310">
        <v>0</v>
      </c>
      <c r="L727" s="311">
        <v>2750</v>
      </c>
      <c r="M727" s="330" t="s">
        <v>1211</v>
      </c>
    </row>
    <row r="728" s="263" customFormat="1" ht="22" customHeight="1" spans="1:13">
      <c r="A728" s="300" t="s">
        <v>1212</v>
      </c>
      <c r="B728" s="301" t="s">
        <v>1213</v>
      </c>
      <c r="C728" s="302"/>
      <c r="D728" s="303">
        <f t="shared" ref="D728:L728" si="537">D729</f>
        <v>2750</v>
      </c>
      <c r="E728" s="304">
        <f t="shared" si="537"/>
        <v>0</v>
      </c>
      <c r="F728" s="305">
        <f t="shared" si="537"/>
        <v>0</v>
      </c>
      <c r="G728" s="303">
        <f t="shared" si="537"/>
        <v>0</v>
      </c>
      <c r="H728" s="304">
        <f t="shared" si="537"/>
        <v>0</v>
      </c>
      <c r="I728" s="327">
        <f t="shared" si="537"/>
        <v>2750</v>
      </c>
      <c r="J728" s="303">
        <f t="shared" si="537"/>
        <v>0</v>
      </c>
      <c r="K728" s="304">
        <f t="shared" si="537"/>
        <v>2750</v>
      </c>
      <c r="L728" s="305">
        <f t="shared" si="537"/>
        <v>0</v>
      </c>
      <c r="M728" s="328" t="s">
        <v>291</v>
      </c>
    </row>
    <row r="729" s="263" customFormat="1" ht="18.75" customHeight="1" spans="1:13">
      <c r="A729" s="306" t="s">
        <v>298</v>
      </c>
      <c r="B729" s="307" t="s">
        <v>298</v>
      </c>
      <c r="C729" s="308"/>
      <c r="D729" s="309">
        <f t="shared" si="534"/>
        <v>2750</v>
      </c>
      <c r="E729" s="310">
        <f t="shared" si="535"/>
        <v>0</v>
      </c>
      <c r="F729" s="311">
        <v>0</v>
      </c>
      <c r="G729" s="309">
        <v>0</v>
      </c>
      <c r="H729" s="310">
        <v>0</v>
      </c>
      <c r="I729" s="329">
        <f t="shared" si="536"/>
        <v>2750</v>
      </c>
      <c r="J729" s="309">
        <v>0</v>
      </c>
      <c r="K729" s="310">
        <v>2750</v>
      </c>
      <c r="L729" s="311">
        <v>0</v>
      </c>
      <c r="M729" s="330" t="s">
        <v>1214</v>
      </c>
    </row>
    <row r="730" s="263" customFormat="1" ht="18.75" customHeight="1" spans="1:13">
      <c r="A730" s="294" t="s">
        <v>1215</v>
      </c>
      <c r="B730" s="295" t="s">
        <v>1216</v>
      </c>
      <c r="C730" s="296"/>
      <c r="D730" s="297">
        <f t="shared" ref="D730:L730" si="538">D731</f>
        <v>35.36</v>
      </c>
      <c r="E730" s="298">
        <f t="shared" si="538"/>
        <v>0</v>
      </c>
      <c r="F730" s="299">
        <f t="shared" si="538"/>
        <v>0</v>
      </c>
      <c r="G730" s="297">
        <f t="shared" si="538"/>
        <v>0</v>
      </c>
      <c r="H730" s="298">
        <f t="shared" si="538"/>
        <v>0</v>
      </c>
      <c r="I730" s="325">
        <f t="shared" si="538"/>
        <v>35.36</v>
      </c>
      <c r="J730" s="297">
        <f t="shared" si="538"/>
        <v>0</v>
      </c>
      <c r="K730" s="298">
        <f t="shared" si="538"/>
        <v>0</v>
      </c>
      <c r="L730" s="299">
        <f t="shared" si="538"/>
        <v>35.36</v>
      </c>
      <c r="M730" s="326" t="s">
        <v>291</v>
      </c>
    </row>
    <row r="731" s="263" customFormat="1" ht="22" customHeight="1" spans="1:13">
      <c r="A731" s="300" t="s">
        <v>1217</v>
      </c>
      <c r="B731" s="301" t="s">
        <v>1218</v>
      </c>
      <c r="C731" s="302"/>
      <c r="D731" s="303">
        <f t="shared" ref="D731:L731" si="539">D732</f>
        <v>35.36</v>
      </c>
      <c r="E731" s="304">
        <f t="shared" si="539"/>
        <v>0</v>
      </c>
      <c r="F731" s="305">
        <f t="shared" si="539"/>
        <v>0</v>
      </c>
      <c r="G731" s="303">
        <f t="shared" si="539"/>
        <v>0</v>
      </c>
      <c r="H731" s="304">
        <f t="shared" si="539"/>
        <v>0</v>
      </c>
      <c r="I731" s="327">
        <f t="shared" si="539"/>
        <v>35.36</v>
      </c>
      <c r="J731" s="303">
        <f t="shared" si="539"/>
        <v>0</v>
      </c>
      <c r="K731" s="304">
        <f t="shared" si="539"/>
        <v>0</v>
      </c>
      <c r="L731" s="305">
        <f t="shared" si="539"/>
        <v>35.36</v>
      </c>
      <c r="M731" s="328" t="s">
        <v>291</v>
      </c>
    </row>
    <row r="732" s="263" customFormat="1" ht="26" customHeight="1" spans="1:13">
      <c r="A732" s="306" t="s">
        <v>298</v>
      </c>
      <c r="B732" s="307" t="s">
        <v>298</v>
      </c>
      <c r="C732" s="308" t="s">
        <v>561</v>
      </c>
      <c r="D732" s="309">
        <f t="shared" si="534"/>
        <v>35.36</v>
      </c>
      <c r="E732" s="310">
        <f t="shared" si="535"/>
        <v>0</v>
      </c>
      <c r="F732" s="311">
        <v>0</v>
      </c>
      <c r="G732" s="309">
        <v>0</v>
      </c>
      <c r="H732" s="310">
        <v>0</v>
      </c>
      <c r="I732" s="329">
        <f t="shared" si="536"/>
        <v>35.36</v>
      </c>
      <c r="J732" s="309">
        <v>0</v>
      </c>
      <c r="K732" s="310">
        <v>0</v>
      </c>
      <c r="L732" s="311">
        <v>35.36</v>
      </c>
      <c r="M732" s="330" t="s">
        <v>1219</v>
      </c>
    </row>
    <row r="733" s="263" customFormat="1" ht="18.75" customHeight="1" spans="1:13">
      <c r="A733" s="294" t="s">
        <v>1220</v>
      </c>
      <c r="B733" s="295" t="s">
        <v>1221</v>
      </c>
      <c r="C733" s="296"/>
      <c r="D733" s="297">
        <f t="shared" ref="D733:L733" si="540">D734</f>
        <v>405.1531</v>
      </c>
      <c r="E733" s="298">
        <f t="shared" si="540"/>
        <v>0</v>
      </c>
      <c r="F733" s="299">
        <f t="shared" si="540"/>
        <v>0</v>
      </c>
      <c r="G733" s="297">
        <f t="shared" si="540"/>
        <v>0</v>
      </c>
      <c r="H733" s="298">
        <f t="shared" si="540"/>
        <v>0</v>
      </c>
      <c r="I733" s="325">
        <f t="shared" si="540"/>
        <v>405.1531</v>
      </c>
      <c r="J733" s="297">
        <f t="shared" si="540"/>
        <v>5.1531</v>
      </c>
      <c r="K733" s="298">
        <f t="shared" si="540"/>
        <v>0</v>
      </c>
      <c r="L733" s="299">
        <f t="shared" si="540"/>
        <v>400</v>
      </c>
      <c r="M733" s="326" t="s">
        <v>291</v>
      </c>
    </row>
    <row r="734" s="263" customFormat="1" ht="22" customHeight="1" spans="1:13">
      <c r="A734" s="300" t="s">
        <v>1222</v>
      </c>
      <c r="B734" s="301" t="s">
        <v>1223</v>
      </c>
      <c r="C734" s="302"/>
      <c r="D734" s="303">
        <f t="shared" ref="D734:L734" si="541">D735</f>
        <v>405.1531</v>
      </c>
      <c r="E734" s="304">
        <f t="shared" si="541"/>
        <v>0</v>
      </c>
      <c r="F734" s="305">
        <f t="shared" si="541"/>
        <v>0</v>
      </c>
      <c r="G734" s="303">
        <f t="shared" si="541"/>
        <v>0</v>
      </c>
      <c r="H734" s="304">
        <f t="shared" si="541"/>
        <v>0</v>
      </c>
      <c r="I734" s="327">
        <f t="shared" si="541"/>
        <v>405.1531</v>
      </c>
      <c r="J734" s="303">
        <f t="shared" si="541"/>
        <v>5.1531</v>
      </c>
      <c r="K734" s="304">
        <f t="shared" si="541"/>
        <v>0</v>
      </c>
      <c r="L734" s="305">
        <f t="shared" si="541"/>
        <v>400</v>
      </c>
      <c r="M734" s="328" t="s">
        <v>291</v>
      </c>
    </row>
    <row r="735" s="263" customFormat="1" ht="28" customHeight="1" spans="1:13">
      <c r="A735" s="306" t="s">
        <v>298</v>
      </c>
      <c r="B735" s="307" t="s">
        <v>298</v>
      </c>
      <c r="C735" s="308" t="s">
        <v>561</v>
      </c>
      <c r="D735" s="309">
        <f>E735+I735</f>
        <v>405.1531</v>
      </c>
      <c r="E735" s="310">
        <f>SUBTOTAL(9,F735:H735)</f>
        <v>0</v>
      </c>
      <c r="F735" s="311">
        <v>0</v>
      </c>
      <c r="G735" s="309">
        <v>0</v>
      </c>
      <c r="H735" s="310">
        <v>0</v>
      </c>
      <c r="I735" s="329">
        <f>SUBTOTAL(9,J735:L735)</f>
        <v>405.1531</v>
      </c>
      <c r="J735" s="309">
        <v>5.1531</v>
      </c>
      <c r="K735" s="310">
        <v>0</v>
      </c>
      <c r="L735" s="311">
        <v>400</v>
      </c>
      <c r="M735" s="330" t="s">
        <v>1224</v>
      </c>
    </row>
    <row r="736" s="263" customFormat="1" ht="18.75" customHeight="1" spans="1:13">
      <c r="A736" s="294" t="s">
        <v>1225</v>
      </c>
      <c r="B736" s="295" t="s">
        <v>1226</v>
      </c>
      <c r="C736" s="296"/>
      <c r="D736" s="297">
        <f t="shared" ref="D736:L736" si="542">D737</f>
        <v>1000</v>
      </c>
      <c r="E736" s="298">
        <f t="shared" si="542"/>
        <v>0</v>
      </c>
      <c r="F736" s="299">
        <f t="shared" si="542"/>
        <v>0</v>
      </c>
      <c r="G736" s="297">
        <f t="shared" si="542"/>
        <v>0</v>
      </c>
      <c r="H736" s="298">
        <f t="shared" si="542"/>
        <v>0</v>
      </c>
      <c r="I736" s="325">
        <f t="shared" si="542"/>
        <v>1000</v>
      </c>
      <c r="J736" s="297">
        <f t="shared" si="542"/>
        <v>0</v>
      </c>
      <c r="K736" s="298">
        <f t="shared" si="542"/>
        <v>0</v>
      </c>
      <c r="L736" s="299">
        <f t="shared" si="542"/>
        <v>1000</v>
      </c>
      <c r="M736" s="326" t="s">
        <v>291</v>
      </c>
    </row>
    <row r="737" s="263" customFormat="1" ht="22" customHeight="1" spans="1:13">
      <c r="A737" s="300" t="s">
        <v>1227</v>
      </c>
      <c r="B737" s="301" t="s">
        <v>1228</v>
      </c>
      <c r="C737" s="302"/>
      <c r="D737" s="303">
        <f t="shared" ref="D737:L737" si="543">D738</f>
        <v>1000</v>
      </c>
      <c r="E737" s="304">
        <f t="shared" si="543"/>
        <v>0</v>
      </c>
      <c r="F737" s="305">
        <f t="shared" si="543"/>
        <v>0</v>
      </c>
      <c r="G737" s="303">
        <f t="shared" si="543"/>
        <v>0</v>
      </c>
      <c r="H737" s="304">
        <f t="shared" si="543"/>
        <v>0</v>
      </c>
      <c r="I737" s="327">
        <f t="shared" si="543"/>
        <v>1000</v>
      </c>
      <c r="J737" s="303">
        <f t="shared" si="543"/>
        <v>0</v>
      </c>
      <c r="K737" s="304">
        <f t="shared" si="543"/>
        <v>0</v>
      </c>
      <c r="L737" s="305">
        <f t="shared" si="543"/>
        <v>1000</v>
      </c>
      <c r="M737" s="328" t="s">
        <v>291</v>
      </c>
    </row>
    <row r="738" s="263" customFormat="1" ht="24" customHeight="1" spans="1:13">
      <c r="A738" s="306" t="s">
        <v>298</v>
      </c>
      <c r="B738" s="307" t="s">
        <v>298</v>
      </c>
      <c r="C738" s="308"/>
      <c r="D738" s="309">
        <f>E738+I738</f>
        <v>1000</v>
      </c>
      <c r="E738" s="310">
        <f>SUBTOTAL(9,F738:H738)</f>
        <v>0</v>
      </c>
      <c r="F738" s="311">
        <v>0</v>
      </c>
      <c r="G738" s="309">
        <v>0</v>
      </c>
      <c r="H738" s="310">
        <v>0</v>
      </c>
      <c r="I738" s="329">
        <f>SUBTOTAL(9,J738:L738)</f>
        <v>1000</v>
      </c>
      <c r="J738" s="309">
        <v>0</v>
      </c>
      <c r="K738" s="310">
        <v>0</v>
      </c>
      <c r="L738" s="311">
        <v>1000</v>
      </c>
      <c r="M738" s="330" t="s">
        <v>1229</v>
      </c>
    </row>
    <row r="739" s="263" customFormat="1" ht="18.75" customHeight="1" spans="1:13">
      <c r="A739" s="288" t="s">
        <v>1230</v>
      </c>
      <c r="B739" s="289" t="s">
        <v>1231</v>
      </c>
      <c r="C739" s="290"/>
      <c r="D739" s="291">
        <f t="shared" ref="D739:L739" si="544">D740+D753+D758+D762+D766</f>
        <v>10948.7036</v>
      </c>
      <c r="E739" s="292">
        <f t="shared" si="544"/>
        <v>2087.963</v>
      </c>
      <c r="F739" s="293">
        <f t="shared" si="544"/>
        <v>1977.4904</v>
      </c>
      <c r="G739" s="291">
        <f t="shared" si="544"/>
        <v>89.2304</v>
      </c>
      <c r="H739" s="292">
        <f t="shared" si="544"/>
        <v>21.2422</v>
      </c>
      <c r="I739" s="323">
        <f t="shared" si="544"/>
        <v>8860.7406</v>
      </c>
      <c r="J739" s="291">
        <f t="shared" si="544"/>
        <v>4360.7406</v>
      </c>
      <c r="K739" s="292">
        <f t="shared" si="544"/>
        <v>0</v>
      </c>
      <c r="L739" s="293">
        <f t="shared" si="544"/>
        <v>4500</v>
      </c>
      <c r="M739" s="324" t="s">
        <v>291</v>
      </c>
    </row>
    <row r="740" s="263" customFormat="1" ht="18.75" customHeight="1" spans="1:13">
      <c r="A740" s="294" t="s">
        <v>1232</v>
      </c>
      <c r="B740" s="295" t="s">
        <v>1233</v>
      </c>
      <c r="C740" s="296"/>
      <c r="D740" s="297">
        <f t="shared" ref="D740:L740" si="545">D741+D743+D745+D747+D749+D751</f>
        <v>953.7209</v>
      </c>
      <c r="E740" s="298">
        <f t="shared" si="545"/>
        <v>844.6903</v>
      </c>
      <c r="F740" s="299">
        <f t="shared" si="545"/>
        <v>785.6465</v>
      </c>
      <c r="G740" s="297">
        <f t="shared" si="545"/>
        <v>46.218</v>
      </c>
      <c r="H740" s="298">
        <f t="shared" si="545"/>
        <v>12.8258</v>
      </c>
      <c r="I740" s="325">
        <f t="shared" si="545"/>
        <v>109.0306</v>
      </c>
      <c r="J740" s="297">
        <f t="shared" si="545"/>
        <v>109.0306</v>
      </c>
      <c r="K740" s="298">
        <f t="shared" si="545"/>
        <v>0</v>
      </c>
      <c r="L740" s="299">
        <f t="shared" si="545"/>
        <v>0</v>
      </c>
      <c r="M740" s="326" t="s">
        <v>291</v>
      </c>
    </row>
    <row r="741" s="263" customFormat="1" ht="22" customHeight="1" spans="1:13">
      <c r="A741" s="300" t="s">
        <v>1234</v>
      </c>
      <c r="B741" s="301" t="s">
        <v>1235</v>
      </c>
      <c r="C741" s="302"/>
      <c r="D741" s="303">
        <f t="shared" ref="D741:L741" si="546">D742</f>
        <v>130.6093</v>
      </c>
      <c r="E741" s="304">
        <f t="shared" si="546"/>
        <v>87.9287</v>
      </c>
      <c r="F741" s="305">
        <f t="shared" si="546"/>
        <v>67.7567</v>
      </c>
      <c r="G741" s="303">
        <f t="shared" si="546"/>
        <v>10.428</v>
      </c>
      <c r="H741" s="304">
        <f t="shared" si="546"/>
        <v>9.744</v>
      </c>
      <c r="I741" s="327">
        <f t="shared" si="546"/>
        <v>42.6806</v>
      </c>
      <c r="J741" s="303">
        <f t="shared" si="546"/>
        <v>42.6806</v>
      </c>
      <c r="K741" s="304">
        <f t="shared" si="546"/>
        <v>0</v>
      </c>
      <c r="L741" s="305">
        <f t="shared" si="546"/>
        <v>0</v>
      </c>
      <c r="M741" s="328" t="s">
        <v>291</v>
      </c>
    </row>
    <row r="742" s="263" customFormat="1" ht="33" customHeight="1" spans="1:13">
      <c r="A742" s="306" t="s">
        <v>298</v>
      </c>
      <c r="B742" s="307" t="s">
        <v>298</v>
      </c>
      <c r="C742" s="308" t="s">
        <v>546</v>
      </c>
      <c r="D742" s="309">
        <f t="shared" ref="D742:D746" si="547">E742+I742</f>
        <v>130.6093</v>
      </c>
      <c r="E742" s="310">
        <f t="shared" ref="E742:E746" si="548">SUBTOTAL(9,F742:H742)</f>
        <v>87.9287</v>
      </c>
      <c r="F742" s="311">
        <v>67.7567</v>
      </c>
      <c r="G742" s="309">
        <v>10.428</v>
      </c>
      <c r="H742" s="310">
        <v>9.744</v>
      </c>
      <c r="I742" s="329">
        <f t="shared" ref="I742:I746" si="549">SUBTOTAL(9,J742:L742)</f>
        <v>42.6806</v>
      </c>
      <c r="J742" s="309">
        <v>42.6806</v>
      </c>
      <c r="K742" s="310">
        <v>0</v>
      </c>
      <c r="L742" s="311">
        <v>0</v>
      </c>
      <c r="M742" s="330" t="s">
        <v>1236</v>
      </c>
    </row>
    <row r="743" s="263" customFormat="1" ht="28" customHeight="1" spans="1:13">
      <c r="A743" s="300" t="s">
        <v>1237</v>
      </c>
      <c r="B743" s="301" t="s">
        <v>1238</v>
      </c>
      <c r="C743" s="302"/>
      <c r="D743" s="303">
        <f t="shared" ref="D743:L743" si="550">D744</f>
        <v>6.68</v>
      </c>
      <c r="E743" s="304">
        <f t="shared" si="550"/>
        <v>0</v>
      </c>
      <c r="F743" s="305">
        <f t="shared" si="550"/>
        <v>0</v>
      </c>
      <c r="G743" s="303">
        <f t="shared" si="550"/>
        <v>0</v>
      </c>
      <c r="H743" s="304">
        <f t="shared" si="550"/>
        <v>0</v>
      </c>
      <c r="I743" s="327">
        <f t="shared" si="550"/>
        <v>6.68</v>
      </c>
      <c r="J743" s="303">
        <f t="shared" si="550"/>
        <v>6.68</v>
      </c>
      <c r="K743" s="304">
        <f t="shared" si="550"/>
        <v>0</v>
      </c>
      <c r="L743" s="305">
        <f t="shared" si="550"/>
        <v>0</v>
      </c>
      <c r="M743" s="328" t="s">
        <v>291</v>
      </c>
    </row>
    <row r="744" s="263" customFormat="1" ht="25" customHeight="1" spans="1:13">
      <c r="A744" s="306" t="s">
        <v>298</v>
      </c>
      <c r="B744" s="307" t="s">
        <v>298</v>
      </c>
      <c r="C744" s="308" t="s">
        <v>546</v>
      </c>
      <c r="D744" s="309">
        <f t="shared" si="547"/>
        <v>6.68</v>
      </c>
      <c r="E744" s="310">
        <f t="shared" si="548"/>
        <v>0</v>
      </c>
      <c r="F744" s="311">
        <v>0</v>
      </c>
      <c r="G744" s="309">
        <v>0</v>
      </c>
      <c r="H744" s="310">
        <v>0</v>
      </c>
      <c r="I744" s="329">
        <f t="shared" si="549"/>
        <v>6.68</v>
      </c>
      <c r="J744" s="309">
        <v>6.68</v>
      </c>
      <c r="K744" s="310">
        <v>0</v>
      </c>
      <c r="L744" s="311">
        <v>0</v>
      </c>
      <c r="M744" s="330" t="s">
        <v>1239</v>
      </c>
    </row>
    <row r="745" s="263" customFormat="1" ht="28" customHeight="1" spans="1:13">
      <c r="A745" s="300" t="s">
        <v>1240</v>
      </c>
      <c r="B745" s="301" t="s">
        <v>1241</v>
      </c>
      <c r="C745" s="302"/>
      <c r="D745" s="303">
        <f t="shared" ref="D745:L745" si="551">D746</f>
        <v>0.27</v>
      </c>
      <c r="E745" s="304">
        <f t="shared" si="551"/>
        <v>0</v>
      </c>
      <c r="F745" s="305">
        <f t="shared" si="551"/>
        <v>0</v>
      </c>
      <c r="G745" s="303">
        <f t="shared" si="551"/>
        <v>0</v>
      </c>
      <c r="H745" s="304">
        <f t="shared" si="551"/>
        <v>0</v>
      </c>
      <c r="I745" s="327">
        <f t="shared" si="551"/>
        <v>0.27</v>
      </c>
      <c r="J745" s="303">
        <f t="shared" si="551"/>
        <v>0.27</v>
      </c>
      <c r="K745" s="304">
        <f t="shared" si="551"/>
        <v>0</v>
      </c>
      <c r="L745" s="305">
        <f t="shared" si="551"/>
        <v>0</v>
      </c>
      <c r="M745" s="328" t="s">
        <v>291</v>
      </c>
    </row>
    <row r="746" s="263" customFormat="1" ht="26" customHeight="1" spans="1:13">
      <c r="A746" s="306" t="s">
        <v>298</v>
      </c>
      <c r="B746" s="307" t="s">
        <v>298</v>
      </c>
      <c r="C746" s="308" t="s">
        <v>552</v>
      </c>
      <c r="D746" s="309">
        <f t="shared" si="547"/>
        <v>0.27</v>
      </c>
      <c r="E746" s="310">
        <f t="shared" si="548"/>
        <v>0</v>
      </c>
      <c r="F746" s="311">
        <v>0</v>
      </c>
      <c r="G746" s="309">
        <v>0</v>
      </c>
      <c r="H746" s="310">
        <v>0</v>
      </c>
      <c r="I746" s="329">
        <f t="shared" si="549"/>
        <v>0.27</v>
      </c>
      <c r="J746" s="309">
        <v>0.27</v>
      </c>
      <c r="K746" s="310">
        <v>0</v>
      </c>
      <c r="L746" s="311">
        <v>0</v>
      </c>
      <c r="M746" s="330" t="s">
        <v>1242</v>
      </c>
    </row>
    <row r="747" s="263" customFormat="1" ht="25" customHeight="1" spans="1:13">
      <c r="A747" s="300" t="s">
        <v>1243</v>
      </c>
      <c r="B747" s="301" t="s">
        <v>1244</v>
      </c>
      <c r="C747" s="302"/>
      <c r="D747" s="303">
        <f t="shared" ref="D747:L747" si="552">D748</f>
        <v>662.1344</v>
      </c>
      <c r="E747" s="304">
        <f t="shared" si="552"/>
        <v>605.1344</v>
      </c>
      <c r="F747" s="305">
        <f t="shared" si="552"/>
        <v>573.6584</v>
      </c>
      <c r="G747" s="303">
        <f t="shared" si="552"/>
        <v>31.47</v>
      </c>
      <c r="H747" s="304">
        <f t="shared" si="552"/>
        <v>0.006</v>
      </c>
      <c r="I747" s="327">
        <f t="shared" si="552"/>
        <v>57</v>
      </c>
      <c r="J747" s="303">
        <f t="shared" si="552"/>
        <v>57</v>
      </c>
      <c r="K747" s="304">
        <f t="shared" si="552"/>
        <v>0</v>
      </c>
      <c r="L747" s="305">
        <f t="shared" si="552"/>
        <v>0</v>
      </c>
      <c r="M747" s="328" t="s">
        <v>291</v>
      </c>
    </row>
    <row r="748" s="263" customFormat="1" ht="46" customHeight="1" spans="1:13">
      <c r="A748" s="306" t="s">
        <v>298</v>
      </c>
      <c r="B748" s="307" t="s">
        <v>298</v>
      </c>
      <c r="C748" s="308" t="s">
        <v>552</v>
      </c>
      <c r="D748" s="309">
        <f t="shared" ref="D748:D752" si="553">E748+I748</f>
        <v>662.1344</v>
      </c>
      <c r="E748" s="310">
        <f t="shared" ref="E748:E752" si="554">SUBTOTAL(9,F748:H748)</f>
        <v>605.1344</v>
      </c>
      <c r="F748" s="311">
        <v>573.6584</v>
      </c>
      <c r="G748" s="309">
        <v>31.47</v>
      </c>
      <c r="H748" s="310">
        <v>0.006</v>
      </c>
      <c r="I748" s="329">
        <f t="shared" ref="I748:I752" si="555">SUBTOTAL(9,J748:L748)</f>
        <v>57</v>
      </c>
      <c r="J748" s="309">
        <v>57</v>
      </c>
      <c r="K748" s="310">
        <v>0</v>
      </c>
      <c r="L748" s="311">
        <v>0</v>
      </c>
      <c r="M748" s="330" t="s">
        <v>1245</v>
      </c>
    </row>
    <row r="749" s="263" customFormat="1" ht="22" customHeight="1" spans="1:13">
      <c r="A749" s="300" t="s">
        <v>1246</v>
      </c>
      <c r="B749" s="301" t="s">
        <v>1247</v>
      </c>
      <c r="C749" s="302"/>
      <c r="D749" s="303">
        <f t="shared" ref="D749:L749" si="556">D750</f>
        <v>2.4</v>
      </c>
      <c r="E749" s="304">
        <f t="shared" si="556"/>
        <v>0</v>
      </c>
      <c r="F749" s="305">
        <f t="shared" si="556"/>
        <v>0</v>
      </c>
      <c r="G749" s="303">
        <f t="shared" si="556"/>
        <v>0</v>
      </c>
      <c r="H749" s="304">
        <f t="shared" si="556"/>
        <v>0</v>
      </c>
      <c r="I749" s="327">
        <f t="shared" si="556"/>
        <v>2.4</v>
      </c>
      <c r="J749" s="303">
        <f t="shared" si="556"/>
        <v>2.4</v>
      </c>
      <c r="K749" s="304">
        <f t="shared" si="556"/>
        <v>0</v>
      </c>
      <c r="L749" s="305">
        <f t="shared" si="556"/>
        <v>0</v>
      </c>
      <c r="M749" s="328" t="s">
        <v>291</v>
      </c>
    </row>
    <row r="750" s="263" customFormat="1" ht="18.75" customHeight="1" spans="1:13">
      <c r="A750" s="306" t="s">
        <v>298</v>
      </c>
      <c r="B750" s="307" t="s">
        <v>298</v>
      </c>
      <c r="C750" s="308" t="s">
        <v>546</v>
      </c>
      <c r="D750" s="309">
        <f t="shared" si="553"/>
        <v>2.4</v>
      </c>
      <c r="E750" s="310">
        <f t="shared" si="554"/>
        <v>0</v>
      </c>
      <c r="F750" s="311">
        <v>0</v>
      </c>
      <c r="G750" s="309">
        <v>0</v>
      </c>
      <c r="H750" s="310">
        <v>0</v>
      </c>
      <c r="I750" s="329">
        <f t="shared" si="555"/>
        <v>2.4</v>
      </c>
      <c r="J750" s="309">
        <v>2.4</v>
      </c>
      <c r="K750" s="310">
        <v>0</v>
      </c>
      <c r="L750" s="311">
        <v>0</v>
      </c>
      <c r="M750" s="330" t="s">
        <v>1248</v>
      </c>
    </row>
    <row r="751" s="263" customFormat="1" ht="22" customHeight="1" spans="1:13">
      <c r="A751" s="300" t="s">
        <v>1249</v>
      </c>
      <c r="B751" s="301" t="s">
        <v>1250</v>
      </c>
      <c r="C751" s="302"/>
      <c r="D751" s="303">
        <f t="shared" ref="D751:L751" si="557">D752</f>
        <v>151.6272</v>
      </c>
      <c r="E751" s="304">
        <f t="shared" si="557"/>
        <v>151.6272</v>
      </c>
      <c r="F751" s="305">
        <f t="shared" si="557"/>
        <v>144.2314</v>
      </c>
      <c r="G751" s="303">
        <f t="shared" si="557"/>
        <v>4.32</v>
      </c>
      <c r="H751" s="304">
        <f t="shared" si="557"/>
        <v>3.0758</v>
      </c>
      <c r="I751" s="327">
        <f t="shared" si="557"/>
        <v>0</v>
      </c>
      <c r="J751" s="303">
        <f t="shared" si="557"/>
        <v>0</v>
      </c>
      <c r="K751" s="304">
        <f t="shared" si="557"/>
        <v>0</v>
      </c>
      <c r="L751" s="305">
        <f t="shared" si="557"/>
        <v>0</v>
      </c>
      <c r="M751" s="328" t="s">
        <v>291</v>
      </c>
    </row>
    <row r="752" s="263" customFormat="1" ht="18.75" customHeight="1" spans="1:13">
      <c r="A752" s="306" t="s">
        <v>298</v>
      </c>
      <c r="B752" s="307" t="s">
        <v>298</v>
      </c>
      <c r="C752" s="308" t="s">
        <v>546</v>
      </c>
      <c r="D752" s="309">
        <f t="shared" si="553"/>
        <v>151.6272</v>
      </c>
      <c r="E752" s="310">
        <f t="shared" si="554"/>
        <v>151.6272</v>
      </c>
      <c r="F752" s="311">
        <v>144.2314</v>
      </c>
      <c r="G752" s="309">
        <v>4.32</v>
      </c>
      <c r="H752" s="310">
        <v>3.0758</v>
      </c>
      <c r="I752" s="329">
        <f t="shared" si="555"/>
        <v>0</v>
      </c>
      <c r="J752" s="309">
        <v>0</v>
      </c>
      <c r="K752" s="310">
        <v>0</v>
      </c>
      <c r="L752" s="311">
        <v>0</v>
      </c>
      <c r="M752" s="330" t="s">
        <v>291</v>
      </c>
    </row>
    <row r="753" s="263" customFormat="1" ht="18.75" customHeight="1" spans="1:13">
      <c r="A753" s="294" t="s">
        <v>1251</v>
      </c>
      <c r="B753" s="295" t="s">
        <v>1252</v>
      </c>
      <c r="C753" s="296"/>
      <c r="D753" s="297">
        <f t="shared" ref="D753:L753" si="558">D754</f>
        <v>4516</v>
      </c>
      <c r="E753" s="298">
        <f t="shared" si="558"/>
        <v>0</v>
      </c>
      <c r="F753" s="299">
        <f t="shared" si="558"/>
        <v>0</v>
      </c>
      <c r="G753" s="297">
        <f t="shared" si="558"/>
        <v>0</v>
      </c>
      <c r="H753" s="298">
        <f t="shared" si="558"/>
        <v>0</v>
      </c>
      <c r="I753" s="325">
        <f t="shared" si="558"/>
        <v>4516</v>
      </c>
      <c r="J753" s="297">
        <f t="shared" si="558"/>
        <v>16</v>
      </c>
      <c r="K753" s="298">
        <f t="shared" si="558"/>
        <v>0</v>
      </c>
      <c r="L753" s="299">
        <f t="shared" si="558"/>
        <v>4500</v>
      </c>
      <c r="M753" s="326" t="s">
        <v>291</v>
      </c>
    </row>
    <row r="754" s="263" customFormat="1" ht="22" customHeight="1" spans="1:13">
      <c r="A754" s="300" t="s">
        <v>1253</v>
      </c>
      <c r="B754" s="301" t="s">
        <v>1254</v>
      </c>
      <c r="C754" s="302"/>
      <c r="D754" s="303">
        <f t="shared" ref="D754:L754" si="559">SUM(D755:D757)</f>
        <v>4516</v>
      </c>
      <c r="E754" s="304">
        <f t="shared" si="559"/>
        <v>0</v>
      </c>
      <c r="F754" s="305">
        <f t="shared" si="559"/>
        <v>0</v>
      </c>
      <c r="G754" s="303">
        <f t="shared" si="559"/>
        <v>0</v>
      </c>
      <c r="H754" s="304">
        <f t="shared" si="559"/>
        <v>0</v>
      </c>
      <c r="I754" s="327">
        <f t="shared" si="559"/>
        <v>4516</v>
      </c>
      <c r="J754" s="303">
        <f t="shared" si="559"/>
        <v>16</v>
      </c>
      <c r="K754" s="304">
        <f t="shared" si="559"/>
        <v>0</v>
      </c>
      <c r="L754" s="305">
        <f t="shared" si="559"/>
        <v>4500</v>
      </c>
      <c r="M754" s="328" t="s">
        <v>291</v>
      </c>
    </row>
    <row r="755" s="263" customFormat="1" ht="38" customHeight="1" spans="1:13">
      <c r="A755" s="306" t="s">
        <v>298</v>
      </c>
      <c r="B755" s="307" t="s">
        <v>298</v>
      </c>
      <c r="C755" s="308" t="s">
        <v>387</v>
      </c>
      <c r="D755" s="309">
        <f t="shared" ref="D755:D757" si="560">E755+I755</f>
        <v>4000</v>
      </c>
      <c r="E755" s="310">
        <f t="shared" ref="E755:E757" si="561">SUBTOTAL(9,F755:H755)</f>
        <v>0</v>
      </c>
      <c r="F755" s="311">
        <v>0</v>
      </c>
      <c r="G755" s="309">
        <v>0</v>
      </c>
      <c r="H755" s="310">
        <v>0</v>
      </c>
      <c r="I755" s="329">
        <f t="shared" ref="I755:I757" si="562">SUBTOTAL(9,J755:L755)</f>
        <v>4000</v>
      </c>
      <c r="J755" s="309">
        <v>0</v>
      </c>
      <c r="K755" s="310">
        <v>0</v>
      </c>
      <c r="L755" s="311">
        <v>4000</v>
      </c>
      <c r="M755" s="330" t="s">
        <v>1255</v>
      </c>
    </row>
    <row r="756" s="263" customFormat="1" ht="25" customHeight="1" spans="1:13">
      <c r="A756" s="306" t="s">
        <v>298</v>
      </c>
      <c r="B756" s="307" t="s">
        <v>298</v>
      </c>
      <c r="C756" s="308" t="s">
        <v>546</v>
      </c>
      <c r="D756" s="309">
        <f t="shared" si="560"/>
        <v>500</v>
      </c>
      <c r="E756" s="310">
        <f t="shared" si="561"/>
        <v>0</v>
      </c>
      <c r="F756" s="311">
        <v>0</v>
      </c>
      <c r="G756" s="309">
        <v>0</v>
      </c>
      <c r="H756" s="310">
        <v>0</v>
      </c>
      <c r="I756" s="329">
        <f t="shared" si="562"/>
        <v>500</v>
      </c>
      <c r="J756" s="309">
        <v>0</v>
      </c>
      <c r="K756" s="310">
        <v>0</v>
      </c>
      <c r="L756" s="311">
        <v>500</v>
      </c>
      <c r="M756" s="330" t="s">
        <v>1256</v>
      </c>
    </row>
    <row r="757" s="263" customFormat="1" ht="25" customHeight="1" spans="1:13">
      <c r="A757" s="306" t="s">
        <v>298</v>
      </c>
      <c r="B757" s="307" t="s">
        <v>298</v>
      </c>
      <c r="C757" s="308" t="s">
        <v>552</v>
      </c>
      <c r="D757" s="309">
        <f t="shared" si="560"/>
        <v>16</v>
      </c>
      <c r="E757" s="310">
        <f t="shared" si="561"/>
        <v>0</v>
      </c>
      <c r="F757" s="311">
        <v>0</v>
      </c>
      <c r="G757" s="309">
        <v>0</v>
      </c>
      <c r="H757" s="310">
        <v>0</v>
      </c>
      <c r="I757" s="329">
        <f t="shared" si="562"/>
        <v>16</v>
      </c>
      <c r="J757" s="309">
        <v>16</v>
      </c>
      <c r="K757" s="310">
        <v>0</v>
      </c>
      <c r="L757" s="311">
        <v>0</v>
      </c>
      <c r="M757" s="330" t="s">
        <v>1257</v>
      </c>
    </row>
    <row r="758" s="263" customFormat="1" ht="18.75" customHeight="1" spans="1:13">
      <c r="A758" s="294" t="s">
        <v>1258</v>
      </c>
      <c r="B758" s="295" t="s">
        <v>1259</v>
      </c>
      <c r="C758" s="296"/>
      <c r="D758" s="297">
        <f t="shared" ref="D758:L758" si="563">D759</f>
        <v>2281.1956</v>
      </c>
      <c r="E758" s="298">
        <f t="shared" si="563"/>
        <v>233.4856</v>
      </c>
      <c r="F758" s="299">
        <f t="shared" si="563"/>
        <v>219.7549</v>
      </c>
      <c r="G758" s="297">
        <f t="shared" si="563"/>
        <v>6.3309</v>
      </c>
      <c r="H758" s="298">
        <f t="shared" si="563"/>
        <v>7.3998</v>
      </c>
      <c r="I758" s="325">
        <f t="shared" si="563"/>
        <v>2047.71</v>
      </c>
      <c r="J758" s="297">
        <f t="shared" si="563"/>
        <v>2047.71</v>
      </c>
      <c r="K758" s="298">
        <f t="shared" si="563"/>
        <v>0</v>
      </c>
      <c r="L758" s="299">
        <f t="shared" si="563"/>
        <v>0</v>
      </c>
      <c r="M758" s="326" t="s">
        <v>291</v>
      </c>
    </row>
    <row r="759" s="263" customFormat="1" ht="22" customHeight="1" spans="1:13">
      <c r="A759" s="300" t="s">
        <v>1260</v>
      </c>
      <c r="B759" s="301" t="s">
        <v>1261</v>
      </c>
      <c r="C759" s="302"/>
      <c r="D759" s="303">
        <f t="shared" ref="D759:L759" si="564">SUM(D760:D761)</f>
        <v>2281.1956</v>
      </c>
      <c r="E759" s="304">
        <f t="shared" si="564"/>
        <v>233.4856</v>
      </c>
      <c r="F759" s="305">
        <f t="shared" si="564"/>
        <v>219.7549</v>
      </c>
      <c r="G759" s="303">
        <f t="shared" si="564"/>
        <v>6.3309</v>
      </c>
      <c r="H759" s="304">
        <f t="shared" si="564"/>
        <v>7.3998</v>
      </c>
      <c r="I759" s="327">
        <f t="shared" si="564"/>
        <v>2047.71</v>
      </c>
      <c r="J759" s="303">
        <f t="shared" si="564"/>
        <v>2047.71</v>
      </c>
      <c r="K759" s="304">
        <f t="shared" si="564"/>
        <v>0</v>
      </c>
      <c r="L759" s="305">
        <f t="shared" si="564"/>
        <v>0</v>
      </c>
      <c r="M759" s="328" t="s">
        <v>291</v>
      </c>
    </row>
    <row r="760" s="263" customFormat="1" ht="125" customHeight="1" spans="1:13">
      <c r="A760" s="306" t="s">
        <v>298</v>
      </c>
      <c r="B760" s="307" t="s">
        <v>298</v>
      </c>
      <c r="C760" s="308" t="s">
        <v>552</v>
      </c>
      <c r="D760" s="309">
        <f t="shared" ref="D760:D765" si="565">E760+I760</f>
        <v>1068.1956</v>
      </c>
      <c r="E760" s="310">
        <f t="shared" ref="E760:E765" si="566">SUBTOTAL(9,F760:H760)</f>
        <v>233.4856</v>
      </c>
      <c r="F760" s="311">
        <v>219.7549</v>
      </c>
      <c r="G760" s="309">
        <v>6.3309</v>
      </c>
      <c r="H760" s="310">
        <v>7.3998</v>
      </c>
      <c r="I760" s="329">
        <f t="shared" ref="I760:I765" si="567">SUBTOTAL(9,J760:L760)</f>
        <v>834.71</v>
      </c>
      <c r="J760" s="309">
        <v>834.71</v>
      </c>
      <c r="K760" s="310">
        <v>0</v>
      </c>
      <c r="L760" s="311">
        <v>0</v>
      </c>
      <c r="M760" s="330" t="s">
        <v>1262</v>
      </c>
    </row>
    <row r="761" s="263" customFormat="1" ht="18.75" customHeight="1" spans="1:13">
      <c r="A761" s="306" t="s">
        <v>298</v>
      </c>
      <c r="B761" s="307" t="s">
        <v>298</v>
      </c>
      <c r="C761" s="308"/>
      <c r="D761" s="309">
        <f t="shared" si="565"/>
        <v>1213</v>
      </c>
      <c r="E761" s="310">
        <f t="shared" si="566"/>
        <v>0</v>
      </c>
      <c r="F761" s="311">
        <v>0</v>
      </c>
      <c r="G761" s="309">
        <v>0</v>
      </c>
      <c r="H761" s="310">
        <v>0</v>
      </c>
      <c r="I761" s="329">
        <f t="shared" si="567"/>
        <v>1213</v>
      </c>
      <c r="J761" s="309">
        <v>1213</v>
      </c>
      <c r="K761" s="310">
        <v>0</v>
      </c>
      <c r="L761" s="311">
        <v>0</v>
      </c>
      <c r="M761" s="330" t="s">
        <v>1263</v>
      </c>
    </row>
    <row r="762" s="263" customFormat="1" ht="18.75" customHeight="1" spans="1:13">
      <c r="A762" s="294" t="s">
        <v>1264</v>
      </c>
      <c r="B762" s="295" t="s">
        <v>1265</v>
      </c>
      <c r="C762" s="296"/>
      <c r="D762" s="297">
        <f t="shared" ref="D762:L762" si="568">D763</f>
        <v>48.4039</v>
      </c>
      <c r="E762" s="298">
        <f t="shared" si="568"/>
        <v>44.4039</v>
      </c>
      <c r="F762" s="299">
        <f t="shared" si="568"/>
        <v>37.6273</v>
      </c>
      <c r="G762" s="297">
        <f t="shared" si="568"/>
        <v>5.76</v>
      </c>
      <c r="H762" s="298">
        <f t="shared" si="568"/>
        <v>1.0166</v>
      </c>
      <c r="I762" s="325">
        <f t="shared" si="568"/>
        <v>4</v>
      </c>
      <c r="J762" s="297">
        <f t="shared" si="568"/>
        <v>4</v>
      </c>
      <c r="K762" s="298">
        <f t="shared" si="568"/>
        <v>0</v>
      </c>
      <c r="L762" s="299">
        <f t="shared" si="568"/>
        <v>0</v>
      </c>
      <c r="M762" s="326" t="s">
        <v>291</v>
      </c>
    </row>
    <row r="763" s="263" customFormat="1" ht="22" customHeight="1" spans="1:13">
      <c r="A763" s="300" t="s">
        <v>1266</v>
      </c>
      <c r="B763" s="301" t="s">
        <v>1267</v>
      </c>
      <c r="C763" s="302"/>
      <c r="D763" s="303">
        <f t="shared" ref="D763:L763" si="569">SUM(D764:D765)</f>
        <v>48.4039</v>
      </c>
      <c r="E763" s="304">
        <f t="shared" si="569"/>
        <v>44.4039</v>
      </c>
      <c r="F763" s="305">
        <f t="shared" si="569"/>
        <v>37.6273</v>
      </c>
      <c r="G763" s="303">
        <f t="shared" si="569"/>
        <v>5.76</v>
      </c>
      <c r="H763" s="304">
        <f t="shared" si="569"/>
        <v>1.0166</v>
      </c>
      <c r="I763" s="327">
        <f t="shared" si="569"/>
        <v>4</v>
      </c>
      <c r="J763" s="303">
        <f t="shared" si="569"/>
        <v>4</v>
      </c>
      <c r="K763" s="304">
        <f t="shared" si="569"/>
        <v>0</v>
      </c>
      <c r="L763" s="305">
        <f t="shared" si="569"/>
        <v>0</v>
      </c>
      <c r="M763" s="328" t="s">
        <v>291</v>
      </c>
    </row>
    <row r="764" s="263" customFormat="1" ht="18.75" customHeight="1" spans="1:13">
      <c r="A764" s="306" t="s">
        <v>298</v>
      </c>
      <c r="B764" s="307" t="s">
        <v>298</v>
      </c>
      <c r="C764" s="308" t="s">
        <v>546</v>
      </c>
      <c r="D764" s="309">
        <f t="shared" si="565"/>
        <v>4</v>
      </c>
      <c r="E764" s="310">
        <f t="shared" si="566"/>
        <v>0</v>
      </c>
      <c r="F764" s="311">
        <v>0</v>
      </c>
      <c r="G764" s="309">
        <v>0</v>
      </c>
      <c r="H764" s="310">
        <v>0</v>
      </c>
      <c r="I764" s="329">
        <f t="shared" si="567"/>
        <v>4</v>
      </c>
      <c r="J764" s="309">
        <v>4</v>
      </c>
      <c r="K764" s="310">
        <v>0</v>
      </c>
      <c r="L764" s="311">
        <v>0</v>
      </c>
      <c r="M764" s="330" t="s">
        <v>1268</v>
      </c>
    </row>
    <row r="765" s="263" customFormat="1" ht="18.75" customHeight="1" spans="1:13">
      <c r="A765" s="306" t="s">
        <v>298</v>
      </c>
      <c r="B765" s="307" t="s">
        <v>298</v>
      </c>
      <c r="C765" s="308" t="s">
        <v>551</v>
      </c>
      <c r="D765" s="309">
        <f t="shared" si="565"/>
        <v>44.4039</v>
      </c>
      <c r="E765" s="310">
        <f t="shared" si="566"/>
        <v>44.4039</v>
      </c>
      <c r="F765" s="311">
        <v>37.6273</v>
      </c>
      <c r="G765" s="309">
        <v>5.76</v>
      </c>
      <c r="H765" s="310">
        <v>1.0166</v>
      </c>
      <c r="I765" s="329">
        <f t="shared" si="567"/>
        <v>0</v>
      </c>
      <c r="J765" s="309">
        <v>0</v>
      </c>
      <c r="K765" s="310">
        <v>0</v>
      </c>
      <c r="L765" s="311">
        <v>0</v>
      </c>
      <c r="M765" s="330" t="s">
        <v>291</v>
      </c>
    </row>
    <row r="766" s="263" customFormat="1" ht="18.75" customHeight="1" spans="1:13">
      <c r="A766" s="294" t="s">
        <v>1269</v>
      </c>
      <c r="B766" s="295" t="s">
        <v>1270</v>
      </c>
      <c r="C766" s="296"/>
      <c r="D766" s="297">
        <f t="shared" ref="D766:L766" si="570">D767</f>
        <v>3149.3832</v>
      </c>
      <c r="E766" s="298">
        <f t="shared" si="570"/>
        <v>965.3832</v>
      </c>
      <c r="F766" s="299">
        <f t="shared" si="570"/>
        <v>934.4617</v>
      </c>
      <c r="G766" s="297">
        <f t="shared" si="570"/>
        <v>30.9215</v>
      </c>
      <c r="H766" s="298">
        <f t="shared" si="570"/>
        <v>0</v>
      </c>
      <c r="I766" s="325">
        <f t="shared" si="570"/>
        <v>2184</v>
      </c>
      <c r="J766" s="297">
        <f t="shared" si="570"/>
        <v>2184</v>
      </c>
      <c r="K766" s="298">
        <f t="shared" si="570"/>
        <v>0</v>
      </c>
      <c r="L766" s="299">
        <f t="shared" si="570"/>
        <v>0</v>
      </c>
      <c r="M766" s="326" t="s">
        <v>291</v>
      </c>
    </row>
    <row r="767" s="263" customFormat="1" ht="22" customHeight="1" spans="1:13">
      <c r="A767" s="300" t="s">
        <v>1271</v>
      </c>
      <c r="B767" s="301" t="s">
        <v>1272</v>
      </c>
      <c r="C767" s="302"/>
      <c r="D767" s="303">
        <f t="shared" ref="D767:H767" si="571">SUM(D768:D769)</f>
        <v>3149.3832</v>
      </c>
      <c r="E767" s="304">
        <f t="shared" si="571"/>
        <v>965.3832</v>
      </c>
      <c r="F767" s="304">
        <f t="shared" si="571"/>
        <v>934.4617</v>
      </c>
      <c r="G767" s="304">
        <f t="shared" si="571"/>
        <v>30.9215</v>
      </c>
      <c r="H767" s="304">
        <f t="shared" si="571"/>
        <v>0</v>
      </c>
      <c r="I767" s="327">
        <f t="shared" ref="I767:L767" si="572">SUM(I769:I769)</f>
        <v>2184</v>
      </c>
      <c r="J767" s="303">
        <f t="shared" si="572"/>
        <v>2184</v>
      </c>
      <c r="K767" s="304">
        <f t="shared" si="572"/>
        <v>0</v>
      </c>
      <c r="L767" s="305">
        <f t="shared" si="572"/>
        <v>0</v>
      </c>
      <c r="M767" s="328" t="s">
        <v>291</v>
      </c>
    </row>
    <row r="768" s="263" customFormat="1" ht="18.75" customHeight="1" spans="1:13">
      <c r="A768" s="306"/>
      <c r="B768" s="307"/>
      <c r="C768" s="308" t="s">
        <v>301</v>
      </c>
      <c r="D768" s="309">
        <f t="shared" ref="D768:D773" si="573">E768+I768</f>
        <v>965.3832</v>
      </c>
      <c r="E768" s="310">
        <f>SUM(F768:H768)</f>
        <v>965.3832</v>
      </c>
      <c r="F768" s="310">
        <v>934.4617</v>
      </c>
      <c r="G768" s="310">
        <v>30.9215</v>
      </c>
      <c r="H768" s="310"/>
      <c r="I768" s="329"/>
      <c r="J768" s="309"/>
      <c r="K768" s="310"/>
      <c r="L768" s="311"/>
      <c r="M768" s="330"/>
    </row>
    <row r="769" s="263" customFormat="1" ht="48" customHeight="1" spans="1:13">
      <c r="A769" s="306" t="s">
        <v>298</v>
      </c>
      <c r="B769" s="307" t="s">
        <v>298</v>
      </c>
      <c r="C769" s="308"/>
      <c r="D769" s="309">
        <f t="shared" si="573"/>
        <v>2184</v>
      </c>
      <c r="E769" s="310">
        <f>SUBTOTAL(9,F769:H769)</f>
        <v>0</v>
      </c>
      <c r="F769" s="311">
        <v>0</v>
      </c>
      <c r="G769" s="309">
        <v>0</v>
      </c>
      <c r="H769" s="310">
        <v>0</v>
      </c>
      <c r="I769" s="329">
        <f>SUBTOTAL(9,J769:L769)</f>
        <v>2184</v>
      </c>
      <c r="J769" s="309">
        <v>2184</v>
      </c>
      <c r="K769" s="310">
        <v>0</v>
      </c>
      <c r="L769" s="311">
        <v>0</v>
      </c>
      <c r="M769" s="330" t="s">
        <v>1273</v>
      </c>
    </row>
    <row r="770" s="263" customFormat="1" ht="18.75" customHeight="1" spans="1:13">
      <c r="A770" s="288" t="s">
        <v>1274</v>
      </c>
      <c r="B770" s="289" t="s">
        <v>1275</v>
      </c>
      <c r="C770" s="290"/>
      <c r="D770" s="291">
        <f t="shared" ref="D770:L770" si="574">D771+D816+D843+D867+D882+D889+D896+D899</f>
        <v>100729.0116</v>
      </c>
      <c r="E770" s="292">
        <f t="shared" si="574"/>
        <v>10854.2239</v>
      </c>
      <c r="F770" s="293">
        <f t="shared" si="574"/>
        <v>9656.1765</v>
      </c>
      <c r="G770" s="291">
        <f t="shared" si="574"/>
        <v>859.7263</v>
      </c>
      <c r="H770" s="292">
        <f t="shared" si="574"/>
        <v>338.3211</v>
      </c>
      <c r="I770" s="323">
        <f t="shared" si="574"/>
        <v>89874.7877</v>
      </c>
      <c r="J770" s="291">
        <f t="shared" si="574"/>
        <v>4434.2585</v>
      </c>
      <c r="K770" s="292">
        <f t="shared" si="574"/>
        <v>897.4192</v>
      </c>
      <c r="L770" s="293">
        <f t="shared" si="574"/>
        <v>84543.11</v>
      </c>
      <c r="M770" s="324" t="s">
        <v>291</v>
      </c>
    </row>
    <row r="771" s="263" customFormat="1" ht="18.75" customHeight="1" spans="1:13">
      <c r="A771" s="294" t="s">
        <v>1276</v>
      </c>
      <c r="B771" s="295" t="s">
        <v>1277</v>
      </c>
      <c r="C771" s="296"/>
      <c r="D771" s="297">
        <f t="shared" ref="D771:L771" si="575">D772+D774+D783+D787+D789+D791+D793+D795+D797+D799+D804+D806+D808+D810+D812</f>
        <v>17705.2848</v>
      </c>
      <c r="E771" s="298">
        <f t="shared" si="575"/>
        <v>3322.3507</v>
      </c>
      <c r="F771" s="299">
        <f t="shared" si="575"/>
        <v>2977.3781</v>
      </c>
      <c r="G771" s="297">
        <f t="shared" si="575"/>
        <v>188.1469</v>
      </c>
      <c r="H771" s="298">
        <f t="shared" si="575"/>
        <v>156.8257</v>
      </c>
      <c r="I771" s="325">
        <f t="shared" si="575"/>
        <v>14382.9341</v>
      </c>
      <c r="J771" s="297">
        <f t="shared" si="575"/>
        <v>427.5416</v>
      </c>
      <c r="K771" s="298">
        <f t="shared" si="575"/>
        <v>570.7925</v>
      </c>
      <c r="L771" s="299">
        <f t="shared" si="575"/>
        <v>13384.6</v>
      </c>
      <c r="M771" s="326" t="s">
        <v>291</v>
      </c>
    </row>
    <row r="772" s="263" customFormat="1" ht="22" customHeight="1" spans="1:13">
      <c r="A772" s="300" t="s">
        <v>1278</v>
      </c>
      <c r="B772" s="301" t="s">
        <v>1279</v>
      </c>
      <c r="C772" s="302"/>
      <c r="D772" s="303">
        <f t="shared" ref="D772:L772" si="576">D773</f>
        <v>193.2656</v>
      </c>
      <c r="E772" s="304">
        <f t="shared" si="576"/>
        <v>193.2656</v>
      </c>
      <c r="F772" s="305">
        <f t="shared" si="576"/>
        <v>150.8952</v>
      </c>
      <c r="G772" s="303">
        <f t="shared" si="576"/>
        <v>19.404</v>
      </c>
      <c r="H772" s="304">
        <f t="shared" si="576"/>
        <v>22.9664</v>
      </c>
      <c r="I772" s="327">
        <f t="shared" si="576"/>
        <v>0</v>
      </c>
      <c r="J772" s="303">
        <f t="shared" si="576"/>
        <v>0</v>
      </c>
      <c r="K772" s="304">
        <f t="shared" si="576"/>
        <v>0</v>
      </c>
      <c r="L772" s="305">
        <f t="shared" si="576"/>
        <v>0</v>
      </c>
      <c r="M772" s="328" t="s">
        <v>291</v>
      </c>
    </row>
    <row r="773" s="263" customFormat="1" ht="18.75" customHeight="1" spans="1:13">
      <c r="A773" s="306" t="s">
        <v>298</v>
      </c>
      <c r="B773" s="307" t="s">
        <v>298</v>
      </c>
      <c r="C773" s="308" t="s">
        <v>560</v>
      </c>
      <c r="D773" s="309">
        <f t="shared" si="573"/>
        <v>193.2656</v>
      </c>
      <c r="E773" s="310">
        <f t="shared" ref="E773:E781" si="577">SUBTOTAL(9,F773:H773)</f>
        <v>193.2656</v>
      </c>
      <c r="F773" s="311">
        <v>150.8952</v>
      </c>
      <c r="G773" s="309">
        <v>19.404</v>
      </c>
      <c r="H773" s="310">
        <v>22.9664</v>
      </c>
      <c r="I773" s="329">
        <f t="shared" ref="I773:I781" si="578">SUBTOTAL(9,J773:L773)</f>
        <v>0</v>
      </c>
      <c r="J773" s="309">
        <v>0</v>
      </c>
      <c r="K773" s="310">
        <v>0</v>
      </c>
      <c r="L773" s="311">
        <v>0</v>
      </c>
      <c r="M773" s="330" t="s">
        <v>291</v>
      </c>
    </row>
    <row r="774" s="263" customFormat="1" ht="22" customHeight="1" spans="1:13">
      <c r="A774" s="300" t="s">
        <v>1280</v>
      </c>
      <c r="B774" s="301" t="s">
        <v>1281</v>
      </c>
      <c r="C774" s="302"/>
      <c r="D774" s="303">
        <f t="shared" ref="D774:L774" si="579">SUM(D775:D782)</f>
        <v>3217.5771</v>
      </c>
      <c r="E774" s="304">
        <f t="shared" si="579"/>
        <v>3129.0851</v>
      </c>
      <c r="F774" s="305">
        <f t="shared" si="579"/>
        <v>2826.4829</v>
      </c>
      <c r="G774" s="303">
        <f t="shared" si="579"/>
        <v>168.7429</v>
      </c>
      <c r="H774" s="304">
        <f t="shared" si="579"/>
        <v>133.8593</v>
      </c>
      <c r="I774" s="327">
        <f t="shared" si="579"/>
        <v>88.492</v>
      </c>
      <c r="J774" s="303">
        <f t="shared" si="579"/>
        <v>88.492</v>
      </c>
      <c r="K774" s="304">
        <f t="shared" si="579"/>
        <v>0</v>
      </c>
      <c r="L774" s="305">
        <f t="shared" si="579"/>
        <v>0</v>
      </c>
      <c r="M774" s="328" t="s">
        <v>291</v>
      </c>
    </row>
    <row r="775" s="263" customFormat="1" ht="27" customHeight="1" spans="1:13">
      <c r="A775" s="306" t="s">
        <v>298</v>
      </c>
      <c r="B775" s="307" t="s">
        <v>298</v>
      </c>
      <c r="C775" s="308" t="s">
        <v>560</v>
      </c>
      <c r="D775" s="309">
        <f t="shared" ref="D775:D782" si="580">E775+I775</f>
        <v>2012.8363</v>
      </c>
      <c r="E775" s="310">
        <f t="shared" si="577"/>
        <v>2008.1243</v>
      </c>
      <c r="F775" s="311">
        <v>1840.1227</v>
      </c>
      <c r="G775" s="309">
        <v>94.3583</v>
      </c>
      <c r="H775" s="310">
        <v>73.6433</v>
      </c>
      <c r="I775" s="329">
        <f t="shared" si="578"/>
        <v>4.712</v>
      </c>
      <c r="J775" s="309">
        <v>4.712</v>
      </c>
      <c r="K775" s="310">
        <v>0</v>
      </c>
      <c r="L775" s="311">
        <v>0</v>
      </c>
      <c r="M775" s="330" t="s">
        <v>1282</v>
      </c>
    </row>
    <row r="776" s="263" customFormat="1" ht="92" customHeight="1" spans="1:13">
      <c r="A776" s="306" t="s">
        <v>298</v>
      </c>
      <c r="B776" s="307" t="s">
        <v>298</v>
      </c>
      <c r="C776" s="308" t="s">
        <v>563</v>
      </c>
      <c r="D776" s="309">
        <f t="shared" si="580"/>
        <v>104.3835</v>
      </c>
      <c r="E776" s="310">
        <f t="shared" si="577"/>
        <v>91.5035</v>
      </c>
      <c r="F776" s="311">
        <v>78.071</v>
      </c>
      <c r="G776" s="309">
        <v>9.142</v>
      </c>
      <c r="H776" s="310">
        <v>4.2905</v>
      </c>
      <c r="I776" s="329">
        <f t="shared" si="578"/>
        <v>12.88</v>
      </c>
      <c r="J776" s="309">
        <v>12.88</v>
      </c>
      <c r="K776" s="310">
        <v>0</v>
      </c>
      <c r="L776" s="311">
        <v>0</v>
      </c>
      <c r="M776" s="330" t="s">
        <v>1283</v>
      </c>
    </row>
    <row r="777" s="263" customFormat="1" ht="33" customHeight="1" spans="1:13">
      <c r="A777" s="306" t="s">
        <v>298</v>
      </c>
      <c r="B777" s="307" t="s">
        <v>298</v>
      </c>
      <c r="C777" s="308" t="s">
        <v>564</v>
      </c>
      <c r="D777" s="309">
        <f t="shared" si="580"/>
        <v>109.3131</v>
      </c>
      <c r="E777" s="310">
        <f t="shared" si="577"/>
        <v>64.7931</v>
      </c>
      <c r="F777" s="311">
        <v>54.3231</v>
      </c>
      <c r="G777" s="309">
        <v>8.076</v>
      </c>
      <c r="H777" s="310">
        <v>2.394</v>
      </c>
      <c r="I777" s="329">
        <f t="shared" si="578"/>
        <v>44.52</v>
      </c>
      <c r="J777" s="309">
        <v>44.52</v>
      </c>
      <c r="K777" s="310">
        <v>0</v>
      </c>
      <c r="L777" s="311">
        <v>0</v>
      </c>
      <c r="M777" s="330" t="s">
        <v>1284</v>
      </c>
    </row>
    <row r="778" s="263" customFormat="1" ht="18.75" customHeight="1" spans="1:13">
      <c r="A778" s="306" t="s">
        <v>298</v>
      </c>
      <c r="B778" s="307" t="s">
        <v>298</v>
      </c>
      <c r="C778" s="308" t="s">
        <v>565</v>
      </c>
      <c r="D778" s="309">
        <f t="shared" si="580"/>
        <v>272.2667</v>
      </c>
      <c r="E778" s="310">
        <f t="shared" si="577"/>
        <v>272.2667</v>
      </c>
      <c r="F778" s="311">
        <v>228.9112</v>
      </c>
      <c r="G778" s="309">
        <v>19.6404</v>
      </c>
      <c r="H778" s="310">
        <v>23.7151</v>
      </c>
      <c r="I778" s="329">
        <f t="shared" si="578"/>
        <v>0</v>
      </c>
      <c r="J778" s="309">
        <v>0</v>
      </c>
      <c r="K778" s="310">
        <v>0</v>
      </c>
      <c r="L778" s="311">
        <v>0</v>
      </c>
      <c r="M778" s="330" t="s">
        <v>291</v>
      </c>
    </row>
    <row r="779" s="263" customFormat="1" ht="54" customHeight="1" spans="1:13">
      <c r="A779" s="306" t="s">
        <v>298</v>
      </c>
      <c r="B779" s="307" t="s">
        <v>298</v>
      </c>
      <c r="C779" s="308" t="s">
        <v>566</v>
      </c>
      <c r="D779" s="309">
        <f t="shared" si="580"/>
        <v>151.8906</v>
      </c>
      <c r="E779" s="310">
        <f t="shared" si="577"/>
        <v>137.3906</v>
      </c>
      <c r="F779" s="311">
        <v>116.777</v>
      </c>
      <c r="G779" s="309">
        <v>11.218</v>
      </c>
      <c r="H779" s="310">
        <v>9.3956</v>
      </c>
      <c r="I779" s="329">
        <f t="shared" si="578"/>
        <v>14.5</v>
      </c>
      <c r="J779" s="309">
        <v>14.5</v>
      </c>
      <c r="K779" s="310">
        <v>0</v>
      </c>
      <c r="L779" s="311">
        <v>0</v>
      </c>
      <c r="M779" s="330" t="s">
        <v>1285</v>
      </c>
    </row>
    <row r="780" s="263" customFormat="1" ht="18.75" customHeight="1" spans="1:13">
      <c r="A780" s="306" t="s">
        <v>298</v>
      </c>
      <c r="B780" s="307" t="s">
        <v>298</v>
      </c>
      <c r="C780" s="308" t="s">
        <v>567</v>
      </c>
      <c r="D780" s="309">
        <f t="shared" si="580"/>
        <v>43.6551</v>
      </c>
      <c r="E780" s="310">
        <f t="shared" si="577"/>
        <v>43.5851</v>
      </c>
      <c r="F780" s="311">
        <v>36.7411</v>
      </c>
      <c r="G780" s="309">
        <v>5.044</v>
      </c>
      <c r="H780" s="310">
        <v>1.8</v>
      </c>
      <c r="I780" s="329">
        <f t="shared" si="578"/>
        <v>0.07</v>
      </c>
      <c r="J780" s="309">
        <v>0.07</v>
      </c>
      <c r="K780" s="310">
        <v>0</v>
      </c>
      <c r="L780" s="311">
        <v>0</v>
      </c>
      <c r="M780" s="330" t="s">
        <v>1286</v>
      </c>
    </row>
    <row r="781" s="263" customFormat="1" ht="37" customHeight="1" spans="1:13">
      <c r="A781" s="306" t="s">
        <v>298</v>
      </c>
      <c r="B781" s="307" t="s">
        <v>298</v>
      </c>
      <c r="C781" s="308" t="s">
        <v>573</v>
      </c>
      <c r="D781" s="309">
        <f t="shared" si="580"/>
        <v>131.0507</v>
      </c>
      <c r="E781" s="310">
        <f t="shared" si="577"/>
        <v>119.2407</v>
      </c>
      <c r="F781" s="311">
        <v>97.6199</v>
      </c>
      <c r="G781" s="309">
        <v>3</v>
      </c>
      <c r="H781" s="310">
        <v>18.6208</v>
      </c>
      <c r="I781" s="329">
        <f t="shared" si="578"/>
        <v>11.81</v>
      </c>
      <c r="J781" s="309">
        <v>11.81</v>
      </c>
      <c r="K781" s="310">
        <v>0</v>
      </c>
      <c r="L781" s="311">
        <v>0</v>
      </c>
      <c r="M781" s="330" t="s">
        <v>1287</v>
      </c>
    </row>
    <row r="782" s="263" customFormat="1" ht="28" customHeight="1" spans="1:13">
      <c r="A782" s="306"/>
      <c r="B782" s="307"/>
      <c r="C782" s="308" t="s">
        <v>301</v>
      </c>
      <c r="D782" s="309">
        <f t="shared" si="580"/>
        <v>392.1811</v>
      </c>
      <c r="E782" s="310">
        <f>SUM(F782:H782)</f>
        <v>392.1811</v>
      </c>
      <c r="F782" s="310">
        <v>373.9169</v>
      </c>
      <c r="G782" s="310">
        <v>18.2642</v>
      </c>
      <c r="H782" s="310"/>
      <c r="I782" s="329"/>
      <c r="J782" s="309"/>
      <c r="K782" s="310"/>
      <c r="L782" s="311"/>
      <c r="M782" s="330"/>
    </row>
    <row r="783" s="263" customFormat="1" ht="22" customHeight="1" spans="1:13">
      <c r="A783" s="300" t="s">
        <v>1288</v>
      </c>
      <c r="B783" s="301" t="s">
        <v>1289</v>
      </c>
      <c r="C783" s="302"/>
      <c r="D783" s="303">
        <f t="shared" ref="D783:L783" si="581">SUM(D784:D786)</f>
        <v>480.08</v>
      </c>
      <c r="E783" s="304">
        <f t="shared" si="581"/>
        <v>0</v>
      </c>
      <c r="F783" s="305">
        <f t="shared" si="581"/>
        <v>0</v>
      </c>
      <c r="G783" s="303">
        <f t="shared" si="581"/>
        <v>0</v>
      </c>
      <c r="H783" s="304">
        <f t="shared" si="581"/>
        <v>0</v>
      </c>
      <c r="I783" s="327">
        <f t="shared" si="581"/>
        <v>480.08</v>
      </c>
      <c r="J783" s="303">
        <f t="shared" si="581"/>
        <v>16.08</v>
      </c>
      <c r="K783" s="304">
        <f t="shared" si="581"/>
        <v>40</v>
      </c>
      <c r="L783" s="305">
        <f t="shared" si="581"/>
        <v>424</v>
      </c>
      <c r="M783" s="328" t="s">
        <v>291</v>
      </c>
    </row>
    <row r="784" s="263" customFormat="1" ht="81" customHeight="1" spans="1:13">
      <c r="A784" s="306" t="s">
        <v>298</v>
      </c>
      <c r="B784" s="307" t="s">
        <v>298</v>
      </c>
      <c r="C784" s="308" t="s">
        <v>560</v>
      </c>
      <c r="D784" s="309">
        <f t="shared" ref="D784:D786" si="582">E784+I784</f>
        <v>434.56</v>
      </c>
      <c r="E784" s="310">
        <f t="shared" ref="E784:E786" si="583">SUBTOTAL(9,F784:H784)</f>
        <v>0</v>
      </c>
      <c r="F784" s="311">
        <v>0</v>
      </c>
      <c r="G784" s="309">
        <v>0</v>
      </c>
      <c r="H784" s="310">
        <v>0</v>
      </c>
      <c r="I784" s="329">
        <f t="shared" ref="I784:I786" si="584">SUBTOTAL(9,J784:L784)</f>
        <v>434.56</v>
      </c>
      <c r="J784" s="309">
        <v>10.56</v>
      </c>
      <c r="K784" s="310">
        <v>0</v>
      </c>
      <c r="L784" s="311">
        <v>424</v>
      </c>
      <c r="M784" s="330" t="s">
        <v>1290</v>
      </c>
    </row>
    <row r="785" s="263" customFormat="1" ht="29" customHeight="1" spans="1:13">
      <c r="A785" s="306" t="s">
        <v>298</v>
      </c>
      <c r="B785" s="307" t="s">
        <v>298</v>
      </c>
      <c r="C785" s="308" t="s">
        <v>565</v>
      </c>
      <c r="D785" s="309">
        <f t="shared" si="582"/>
        <v>5.52</v>
      </c>
      <c r="E785" s="310">
        <f t="shared" si="583"/>
        <v>0</v>
      </c>
      <c r="F785" s="311">
        <v>0</v>
      </c>
      <c r="G785" s="309">
        <v>0</v>
      </c>
      <c r="H785" s="310">
        <v>0</v>
      </c>
      <c r="I785" s="329">
        <f t="shared" si="584"/>
        <v>5.52</v>
      </c>
      <c r="J785" s="309">
        <v>5.52</v>
      </c>
      <c r="K785" s="310">
        <v>0</v>
      </c>
      <c r="L785" s="311">
        <v>0</v>
      </c>
      <c r="M785" s="330" t="s">
        <v>1291</v>
      </c>
    </row>
    <row r="786" s="263" customFormat="1" ht="21" customHeight="1" spans="1:13">
      <c r="A786" s="306" t="s">
        <v>298</v>
      </c>
      <c r="B786" s="307" t="s">
        <v>298</v>
      </c>
      <c r="C786" s="308"/>
      <c r="D786" s="309">
        <f t="shared" si="582"/>
        <v>40</v>
      </c>
      <c r="E786" s="310">
        <f t="shared" si="583"/>
        <v>0</v>
      </c>
      <c r="F786" s="311">
        <v>0</v>
      </c>
      <c r="G786" s="309">
        <v>0</v>
      </c>
      <c r="H786" s="310">
        <v>0</v>
      </c>
      <c r="I786" s="329">
        <f t="shared" si="584"/>
        <v>40</v>
      </c>
      <c r="J786" s="309">
        <v>0</v>
      </c>
      <c r="K786" s="310">
        <v>40</v>
      </c>
      <c r="L786" s="311">
        <v>0</v>
      </c>
      <c r="M786" s="330" t="s">
        <v>1292</v>
      </c>
    </row>
    <row r="787" s="263" customFormat="1" ht="22" customHeight="1" spans="1:13">
      <c r="A787" s="300" t="s">
        <v>1293</v>
      </c>
      <c r="B787" s="301" t="s">
        <v>1294</v>
      </c>
      <c r="C787" s="302"/>
      <c r="D787" s="303">
        <f t="shared" ref="D787:L787" si="585">D788</f>
        <v>218.896</v>
      </c>
      <c r="E787" s="304">
        <f t="shared" si="585"/>
        <v>0</v>
      </c>
      <c r="F787" s="305">
        <f t="shared" si="585"/>
        <v>0</v>
      </c>
      <c r="G787" s="303">
        <f t="shared" si="585"/>
        <v>0</v>
      </c>
      <c r="H787" s="304">
        <f t="shared" si="585"/>
        <v>0</v>
      </c>
      <c r="I787" s="327">
        <f t="shared" si="585"/>
        <v>218.896</v>
      </c>
      <c r="J787" s="303">
        <f t="shared" si="585"/>
        <v>88.896</v>
      </c>
      <c r="K787" s="304">
        <f t="shared" si="585"/>
        <v>0</v>
      </c>
      <c r="L787" s="305">
        <f t="shared" si="585"/>
        <v>130</v>
      </c>
      <c r="M787" s="328" t="s">
        <v>291</v>
      </c>
    </row>
    <row r="788" s="263" customFormat="1" ht="90" customHeight="1" spans="1:13">
      <c r="A788" s="306" t="s">
        <v>298</v>
      </c>
      <c r="B788" s="307" t="s">
        <v>298</v>
      </c>
      <c r="C788" s="308" t="s">
        <v>560</v>
      </c>
      <c r="D788" s="309">
        <f t="shared" ref="D788:D792" si="586">E788+I788</f>
        <v>218.896</v>
      </c>
      <c r="E788" s="310">
        <f t="shared" ref="E788:E792" si="587">SUBTOTAL(9,F788:H788)</f>
        <v>0</v>
      </c>
      <c r="F788" s="311">
        <v>0</v>
      </c>
      <c r="G788" s="309">
        <v>0</v>
      </c>
      <c r="H788" s="310">
        <v>0</v>
      </c>
      <c r="I788" s="329">
        <f t="shared" ref="I788:I792" si="588">SUBTOTAL(9,J788:L788)</f>
        <v>218.896</v>
      </c>
      <c r="J788" s="309">
        <v>88.896</v>
      </c>
      <c r="K788" s="310">
        <v>0</v>
      </c>
      <c r="L788" s="311">
        <v>130</v>
      </c>
      <c r="M788" s="330" t="s">
        <v>1295</v>
      </c>
    </row>
    <row r="789" s="263" customFormat="1" ht="22" customHeight="1" spans="1:13">
      <c r="A789" s="300" t="s">
        <v>1296</v>
      </c>
      <c r="B789" s="301" t="s">
        <v>1297</v>
      </c>
      <c r="C789" s="302"/>
      <c r="D789" s="303">
        <f t="shared" ref="D789:L789" si="589">D790</f>
        <v>93.4</v>
      </c>
      <c r="E789" s="304">
        <f t="shared" si="589"/>
        <v>0</v>
      </c>
      <c r="F789" s="305">
        <f t="shared" si="589"/>
        <v>0</v>
      </c>
      <c r="G789" s="303">
        <f t="shared" si="589"/>
        <v>0</v>
      </c>
      <c r="H789" s="304">
        <f t="shared" si="589"/>
        <v>0</v>
      </c>
      <c r="I789" s="327">
        <f t="shared" si="589"/>
        <v>93.4</v>
      </c>
      <c r="J789" s="303">
        <f t="shared" si="589"/>
        <v>16.8</v>
      </c>
      <c r="K789" s="304">
        <f t="shared" si="589"/>
        <v>0</v>
      </c>
      <c r="L789" s="305">
        <f t="shared" si="589"/>
        <v>76.6</v>
      </c>
      <c r="M789" s="328" t="s">
        <v>291</v>
      </c>
    </row>
    <row r="790" s="263" customFormat="1" ht="51" customHeight="1" spans="1:13">
      <c r="A790" s="306" t="s">
        <v>298</v>
      </c>
      <c r="B790" s="307" t="s">
        <v>298</v>
      </c>
      <c r="C790" s="308" t="s">
        <v>560</v>
      </c>
      <c r="D790" s="309">
        <f t="shared" si="586"/>
        <v>93.4</v>
      </c>
      <c r="E790" s="310">
        <f t="shared" si="587"/>
        <v>0</v>
      </c>
      <c r="F790" s="311">
        <v>0</v>
      </c>
      <c r="G790" s="309">
        <v>0</v>
      </c>
      <c r="H790" s="310">
        <v>0</v>
      </c>
      <c r="I790" s="329">
        <f t="shared" si="588"/>
        <v>93.4</v>
      </c>
      <c r="J790" s="309">
        <v>16.8</v>
      </c>
      <c r="K790" s="310">
        <v>0</v>
      </c>
      <c r="L790" s="311">
        <v>76.6</v>
      </c>
      <c r="M790" s="330" t="s">
        <v>1298</v>
      </c>
    </row>
    <row r="791" s="263" customFormat="1" ht="22" customHeight="1" spans="1:13">
      <c r="A791" s="300" t="s">
        <v>1299</v>
      </c>
      <c r="B791" s="301" t="s">
        <v>1300</v>
      </c>
      <c r="C791" s="302"/>
      <c r="D791" s="303">
        <f t="shared" ref="D791:L791" si="590">D792</f>
        <v>62.136</v>
      </c>
      <c r="E791" s="304">
        <f t="shared" si="590"/>
        <v>0</v>
      </c>
      <c r="F791" s="305">
        <f t="shared" si="590"/>
        <v>0</v>
      </c>
      <c r="G791" s="303">
        <f t="shared" si="590"/>
        <v>0</v>
      </c>
      <c r="H791" s="304">
        <f t="shared" si="590"/>
        <v>0</v>
      </c>
      <c r="I791" s="327">
        <f t="shared" si="590"/>
        <v>62.136</v>
      </c>
      <c r="J791" s="303">
        <f t="shared" si="590"/>
        <v>62.136</v>
      </c>
      <c r="K791" s="304">
        <f t="shared" si="590"/>
        <v>0</v>
      </c>
      <c r="L791" s="305">
        <f t="shared" si="590"/>
        <v>0</v>
      </c>
      <c r="M791" s="328" t="s">
        <v>291</v>
      </c>
    </row>
    <row r="792" s="263" customFormat="1" ht="139" customHeight="1" spans="1:13">
      <c r="A792" s="306" t="s">
        <v>298</v>
      </c>
      <c r="B792" s="307" t="s">
        <v>298</v>
      </c>
      <c r="C792" s="308" t="s">
        <v>560</v>
      </c>
      <c r="D792" s="309">
        <f t="shared" si="586"/>
        <v>62.136</v>
      </c>
      <c r="E792" s="310">
        <f t="shared" si="587"/>
        <v>0</v>
      </c>
      <c r="F792" s="311">
        <v>0</v>
      </c>
      <c r="G792" s="309">
        <v>0</v>
      </c>
      <c r="H792" s="310">
        <v>0</v>
      </c>
      <c r="I792" s="329">
        <f t="shared" si="588"/>
        <v>62.136</v>
      </c>
      <c r="J792" s="309">
        <v>62.136</v>
      </c>
      <c r="K792" s="310">
        <v>0</v>
      </c>
      <c r="L792" s="311">
        <v>0</v>
      </c>
      <c r="M792" s="330" t="s">
        <v>1301</v>
      </c>
    </row>
    <row r="793" s="263" customFormat="1" ht="22" customHeight="1" spans="1:13">
      <c r="A793" s="300" t="s">
        <v>1302</v>
      </c>
      <c r="B793" s="301" t="s">
        <v>1303</v>
      </c>
      <c r="C793" s="302"/>
      <c r="D793" s="303">
        <f t="shared" ref="D793:L793" si="591">D794</f>
        <v>7.13</v>
      </c>
      <c r="E793" s="304">
        <f t="shared" si="591"/>
        <v>0</v>
      </c>
      <c r="F793" s="305">
        <f t="shared" si="591"/>
        <v>0</v>
      </c>
      <c r="G793" s="303">
        <f t="shared" si="591"/>
        <v>0</v>
      </c>
      <c r="H793" s="304">
        <f t="shared" si="591"/>
        <v>0</v>
      </c>
      <c r="I793" s="327">
        <f t="shared" si="591"/>
        <v>7.13</v>
      </c>
      <c r="J793" s="303">
        <f t="shared" si="591"/>
        <v>7.13</v>
      </c>
      <c r="K793" s="304">
        <f t="shared" si="591"/>
        <v>0</v>
      </c>
      <c r="L793" s="305">
        <f t="shared" si="591"/>
        <v>0</v>
      </c>
      <c r="M793" s="328" t="s">
        <v>291</v>
      </c>
    </row>
    <row r="794" s="263" customFormat="1" ht="34" customHeight="1" spans="1:13">
      <c r="A794" s="306" t="s">
        <v>298</v>
      </c>
      <c r="B794" s="307" t="s">
        <v>298</v>
      </c>
      <c r="C794" s="308" t="s">
        <v>567</v>
      </c>
      <c r="D794" s="309">
        <f t="shared" ref="D794:D798" si="592">E794+I794</f>
        <v>7.13</v>
      </c>
      <c r="E794" s="310">
        <f t="shared" ref="E794:E798" si="593">SUBTOTAL(9,F794:H794)</f>
        <v>0</v>
      </c>
      <c r="F794" s="311">
        <v>0</v>
      </c>
      <c r="G794" s="309">
        <v>0</v>
      </c>
      <c r="H794" s="310">
        <v>0</v>
      </c>
      <c r="I794" s="329">
        <f t="shared" ref="I794:I798" si="594">SUBTOTAL(9,J794:L794)</f>
        <v>7.13</v>
      </c>
      <c r="J794" s="309">
        <v>7.13</v>
      </c>
      <c r="K794" s="310">
        <v>0</v>
      </c>
      <c r="L794" s="311">
        <v>0</v>
      </c>
      <c r="M794" s="330" t="s">
        <v>1304</v>
      </c>
    </row>
    <row r="795" s="263" customFormat="1" ht="22" customHeight="1" spans="1:13">
      <c r="A795" s="300" t="s">
        <v>1305</v>
      </c>
      <c r="B795" s="301" t="s">
        <v>1306</v>
      </c>
      <c r="C795" s="302"/>
      <c r="D795" s="303">
        <f t="shared" ref="D795:L795" si="595">D796</f>
        <v>43.6</v>
      </c>
      <c r="E795" s="304">
        <f t="shared" si="595"/>
        <v>0</v>
      </c>
      <c r="F795" s="305">
        <f t="shared" si="595"/>
        <v>0</v>
      </c>
      <c r="G795" s="303">
        <f t="shared" si="595"/>
        <v>0</v>
      </c>
      <c r="H795" s="304">
        <f t="shared" si="595"/>
        <v>0</v>
      </c>
      <c r="I795" s="327">
        <f t="shared" si="595"/>
        <v>43.6</v>
      </c>
      <c r="J795" s="303">
        <f t="shared" si="595"/>
        <v>43.6</v>
      </c>
      <c r="K795" s="304">
        <f t="shared" si="595"/>
        <v>0</v>
      </c>
      <c r="L795" s="305">
        <f t="shared" si="595"/>
        <v>0</v>
      </c>
      <c r="M795" s="328" t="s">
        <v>291</v>
      </c>
    </row>
    <row r="796" s="263" customFormat="1" ht="26" customHeight="1" spans="1:13">
      <c r="A796" s="306" t="s">
        <v>298</v>
      </c>
      <c r="B796" s="307" t="s">
        <v>298</v>
      </c>
      <c r="C796" s="308" t="s">
        <v>571</v>
      </c>
      <c r="D796" s="309">
        <f t="shared" si="592"/>
        <v>43.6</v>
      </c>
      <c r="E796" s="310">
        <f t="shared" si="593"/>
        <v>0</v>
      </c>
      <c r="F796" s="311">
        <v>0</v>
      </c>
      <c r="G796" s="309">
        <v>0</v>
      </c>
      <c r="H796" s="310">
        <v>0</v>
      </c>
      <c r="I796" s="329">
        <f t="shared" si="594"/>
        <v>43.6</v>
      </c>
      <c r="J796" s="309">
        <v>43.6</v>
      </c>
      <c r="K796" s="310">
        <v>0</v>
      </c>
      <c r="L796" s="311">
        <v>0</v>
      </c>
      <c r="M796" s="330" t="s">
        <v>1307</v>
      </c>
    </row>
    <row r="797" s="263" customFormat="1" ht="22" customHeight="1" spans="1:13">
      <c r="A797" s="300" t="s">
        <v>1308</v>
      </c>
      <c r="B797" s="301" t="s">
        <v>1309</v>
      </c>
      <c r="C797" s="302"/>
      <c r="D797" s="303">
        <f t="shared" ref="D797:L797" si="596">D798</f>
        <v>7.4176</v>
      </c>
      <c r="E797" s="304">
        <f t="shared" si="596"/>
        <v>0</v>
      </c>
      <c r="F797" s="305">
        <f t="shared" si="596"/>
        <v>0</v>
      </c>
      <c r="G797" s="303">
        <f t="shared" si="596"/>
        <v>0</v>
      </c>
      <c r="H797" s="304">
        <f t="shared" si="596"/>
        <v>0</v>
      </c>
      <c r="I797" s="327">
        <f t="shared" si="596"/>
        <v>7.4176</v>
      </c>
      <c r="J797" s="303">
        <f t="shared" si="596"/>
        <v>7.4176</v>
      </c>
      <c r="K797" s="304">
        <f t="shared" si="596"/>
        <v>0</v>
      </c>
      <c r="L797" s="305">
        <f t="shared" si="596"/>
        <v>0</v>
      </c>
      <c r="M797" s="328" t="s">
        <v>291</v>
      </c>
    </row>
    <row r="798" s="263" customFormat="1" ht="35" customHeight="1" spans="1:13">
      <c r="A798" s="306" t="s">
        <v>298</v>
      </c>
      <c r="B798" s="307" t="s">
        <v>298</v>
      </c>
      <c r="C798" s="308" t="s">
        <v>560</v>
      </c>
      <c r="D798" s="309">
        <f t="shared" si="592"/>
        <v>7.4176</v>
      </c>
      <c r="E798" s="310">
        <f t="shared" si="593"/>
        <v>0</v>
      </c>
      <c r="F798" s="311">
        <v>0</v>
      </c>
      <c r="G798" s="309">
        <v>0</v>
      </c>
      <c r="H798" s="310">
        <v>0</v>
      </c>
      <c r="I798" s="329">
        <f t="shared" si="594"/>
        <v>7.4176</v>
      </c>
      <c r="J798" s="309">
        <v>7.4176</v>
      </c>
      <c r="K798" s="310">
        <v>0</v>
      </c>
      <c r="L798" s="311">
        <v>0</v>
      </c>
      <c r="M798" s="330" t="s">
        <v>1310</v>
      </c>
    </row>
    <row r="799" s="263" customFormat="1" ht="22" customHeight="1" spans="1:13">
      <c r="A799" s="300" t="s">
        <v>1311</v>
      </c>
      <c r="B799" s="301" t="s">
        <v>1312</v>
      </c>
      <c r="C799" s="302"/>
      <c r="D799" s="303">
        <f t="shared" ref="D799:L799" si="597">SUM(D800:D803)</f>
        <v>4230</v>
      </c>
      <c r="E799" s="304">
        <f t="shared" si="597"/>
        <v>0</v>
      </c>
      <c r="F799" s="305">
        <f t="shared" si="597"/>
        <v>0</v>
      </c>
      <c r="G799" s="303">
        <f t="shared" si="597"/>
        <v>0</v>
      </c>
      <c r="H799" s="304">
        <f t="shared" si="597"/>
        <v>0</v>
      </c>
      <c r="I799" s="327">
        <f t="shared" si="597"/>
        <v>4230</v>
      </c>
      <c r="J799" s="303">
        <f t="shared" si="597"/>
        <v>0</v>
      </c>
      <c r="K799" s="304">
        <f t="shared" si="597"/>
        <v>230</v>
      </c>
      <c r="L799" s="305">
        <f t="shared" si="597"/>
        <v>4000</v>
      </c>
      <c r="M799" s="328" t="s">
        <v>291</v>
      </c>
    </row>
    <row r="800" s="263" customFormat="1" ht="18.75" customHeight="1" spans="1:13">
      <c r="A800" s="306" t="s">
        <v>298</v>
      </c>
      <c r="B800" s="307" t="s">
        <v>298</v>
      </c>
      <c r="C800" s="308" t="s">
        <v>560</v>
      </c>
      <c r="D800" s="309">
        <f t="shared" ref="D800:D803" si="598">E800+I800</f>
        <v>3200</v>
      </c>
      <c r="E800" s="310">
        <f t="shared" ref="E800:E803" si="599">SUBTOTAL(9,F800:H800)</f>
        <v>0</v>
      </c>
      <c r="F800" s="311">
        <v>0</v>
      </c>
      <c r="G800" s="309">
        <v>0</v>
      </c>
      <c r="H800" s="310">
        <v>0</v>
      </c>
      <c r="I800" s="329">
        <f t="shared" ref="I800:I803" si="600">SUBTOTAL(9,J800:L800)</f>
        <v>3200</v>
      </c>
      <c r="J800" s="309">
        <v>0</v>
      </c>
      <c r="K800" s="310">
        <v>0</v>
      </c>
      <c r="L800" s="311">
        <v>3200</v>
      </c>
      <c r="M800" s="330" t="s">
        <v>1313</v>
      </c>
    </row>
    <row r="801" s="263" customFormat="1" ht="28" customHeight="1" spans="1:13">
      <c r="A801" s="306" t="s">
        <v>298</v>
      </c>
      <c r="B801" s="307" t="s">
        <v>298</v>
      </c>
      <c r="C801" s="308" t="s">
        <v>561</v>
      </c>
      <c r="D801" s="309">
        <f t="shared" si="598"/>
        <v>400</v>
      </c>
      <c r="E801" s="310">
        <f t="shared" si="599"/>
        <v>0</v>
      </c>
      <c r="F801" s="311">
        <v>0</v>
      </c>
      <c r="G801" s="309">
        <v>0</v>
      </c>
      <c r="H801" s="310">
        <v>0</v>
      </c>
      <c r="I801" s="329">
        <f t="shared" si="600"/>
        <v>400</v>
      </c>
      <c r="J801" s="309">
        <v>0</v>
      </c>
      <c r="K801" s="310">
        <v>0</v>
      </c>
      <c r="L801" s="311">
        <v>400</v>
      </c>
      <c r="M801" s="330" t="s">
        <v>1314</v>
      </c>
    </row>
    <row r="802" s="263" customFormat="1" ht="18.75" customHeight="1" spans="1:13">
      <c r="A802" s="306" t="s">
        <v>298</v>
      </c>
      <c r="B802" s="307" t="s">
        <v>298</v>
      </c>
      <c r="C802" s="308" t="s">
        <v>565</v>
      </c>
      <c r="D802" s="309">
        <f t="shared" si="598"/>
        <v>400</v>
      </c>
      <c r="E802" s="310">
        <f t="shared" si="599"/>
        <v>0</v>
      </c>
      <c r="F802" s="311">
        <v>0</v>
      </c>
      <c r="G802" s="309">
        <v>0</v>
      </c>
      <c r="H802" s="310">
        <v>0</v>
      </c>
      <c r="I802" s="329">
        <f t="shared" si="600"/>
        <v>400</v>
      </c>
      <c r="J802" s="309">
        <v>0</v>
      </c>
      <c r="K802" s="310">
        <v>0</v>
      </c>
      <c r="L802" s="311">
        <v>400</v>
      </c>
      <c r="M802" s="330" t="s">
        <v>1315</v>
      </c>
    </row>
    <row r="803" s="263" customFormat="1" ht="36" customHeight="1" spans="1:13">
      <c r="A803" s="306" t="s">
        <v>298</v>
      </c>
      <c r="B803" s="307" t="s">
        <v>298</v>
      </c>
      <c r="C803" s="308"/>
      <c r="D803" s="309">
        <f t="shared" si="598"/>
        <v>230</v>
      </c>
      <c r="E803" s="310">
        <f t="shared" si="599"/>
        <v>0</v>
      </c>
      <c r="F803" s="311">
        <v>0</v>
      </c>
      <c r="G803" s="309">
        <v>0</v>
      </c>
      <c r="H803" s="310">
        <v>0</v>
      </c>
      <c r="I803" s="329">
        <f t="shared" si="600"/>
        <v>230</v>
      </c>
      <c r="J803" s="309">
        <v>0</v>
      </c>
      <c r="K803" s="310">
        <f>267-37</f>
        <v>230</v>
      </c>
      <c r="L803" s="311">
        <v>0</v>
      </c>
      <c r="M803" s="330" t="s">
        <v>1316</v>
      </c>
    </row>
    <row r="804" s="263" customFormat="1" ht="22" customHeight="1" spans="1:13">
      <c r="A804" s="300" t="s">
        <v>1317</v>
      </c>
      <c r="B804" s="301" t="s">
        <v>1318</v>
      </c>
      <c r="C804" s="302"/>
      <c r="D804" s="303">
        <f t="shared" ref="D804:L804" si="601">D805</f>
        <v>219</v>
      </c>
      <c r="E804" s="304">
        <f t="shared" si="601"/>
        <v>0</v>
      </c>
      <c r="F804" s="305">
        <f t="shared" si="601"/>
        <v>0</v>
      </c>
      <c r="G804" s="303">
        <f t="shared" si="601"/>
        <v>0</v>
      </c>
      <c r="H804" s="304">
        <f t="shared" si="601"/>
        <v>0</v>
      </c>
      <c r="I804" s="327">
        <f t="shared" si="601"/>
        <v>219</v>
      </c>
      <c r="J804" s="303">
        <f t="shared" si="601"/>
        <v>0</v>
      </c>
      <c r="K804" s="304">
        <f t="shared" si="601"/>
        <v>0</v>
      </c>
      <c r="L804" s="305">
        <f t="shared" si="601"/>
        <v>219</v>
      </c>
      <c r="M804" s="328" t="s">
        <v>291</v>
      </c>
    </row>
    <row r="805" s="263" customFormat="1" ht="27" customHeight="1" spans="1:13">
      <c r="A805" s="306" t="s">
        <v>298</v>
      </c>
      <c r="B805" s="307" t="s">
        <v>298</v>
      </c>
      <c r="C805" s="308" t="s">
        <v>563</v>
      </c>
      <c r="D805" s="309">
        <f t="shared" ref="D805:D809" si="602">E805+I805</f>
        <v>219</v>
      </c>
      <c r="E805" s="310">
        <f t="shared" ref="E805:E809" si="603">SUBTOTAL(9,F805:H805)</f>
        <v>0</v>
      </c>
      <c r="F805" s="311">
        <v>0</v>
      </c>
      <c r="G805" s="309">
        <v>0</v>
      </c>
      <c r="H805" s="310">
        <v>0</v>
      </c>
      <c r="I805" s="329">
        <f t="shared" ref="I805:I809" si="604">SUBTOTAL(9,J805:L805)</f>
        <v>219</v>
      </c>
      <c r="J805" s="309">
        <v>0</v>
      </c>
      <c r="K805" s="310">
        <v>0</v>
      </c>
      <c r="L805" s="311">
        <v>219</v>
      </c>
      <c r="M805" s="330" t="s">
        <v>1319</v>
      </c>
    </row>
    <row r="806" s="263" customFormat="1" ht="22" customHeight="1" spans="1:13">
      <c r="A806" s="300" t="s">
        <v>1320</v>
      </c>
      <c r="B806" s="301" t="s">
        <v>1321</v>
      </c>
      <c r="C806" s="302"/>
      <c r="D806" s="303">
        <f t="shared" ref="D806:L806" si="605">D807</f>
        <v>1.6</v>
      </c>
      <c r="E806" s="304">
        <f t="shared" si="605"/>
        <v>0</v>
      </c>
      <c r="F806" s="305">
        <f t="shared" si="605"/>
        <v>0</v>
      </c>
      <c r="G806" s="303">
        <f t="shared" si="605"/>
        <v>0</v>
      </c>
      <c r="H806" s="304">
        <f t="shared" si="605"/>
        <v>0</v>
      </c>
      <c r="I806" s="327">
        <f t="shared" si="605"/>
        <v>1.6</v>
      </c>
      <c r="J806" s="303">
        <f t="shared" si="605"/>
        <v>1.6</v>
      </c>
      <c r="K806" s="304">
        <f t="shared" si="605"/>
        <v>0</v>
      </c>
      <c r="L806" s="305">
        <f t="shared" si="605"/>
        <v>0</v>
      </c>
      <c r="M806" s="328" t="s">
        <v>291</v>
      </c>
    </row>
    <row r="807" s="263" customFormat="1" ht="18.75" customHeight="1" spans="1:13">
      <c r="A807" s="306" t="s">
        <v>298</v>
      </c>
      <c r="B807" s="307" t="s">
        <v>298</v>
      </c>
      <c r="C807" s="308" t="s">
        <v>560</v>
      </c>
      <c r="D807" s="309">
        <f t="shared" si="602"/>
        <v>1.6</v>
      </c>
      <c r="E807" s="310">
        <f t="shared" si="603"/>
        <v>0</v>
      </c>
      <c r="F807" s="311">
        <v>0</v>
      </c>
      <c r="G807" s="309">
        <v>0</v>
      </c>
      <c r="H807" s="310">
        <v>0</v>
      </c>
      <c r="I807" s="329">
        <f t="shared" si="604"/>
        <v>1.6</v>
      </c>
      <c r="J807" s="309">
        <v>1.6</v>
      </c>
      <c r="K807" s="310">
        <v>0</v>
      </c>
      <c r="L807" s="311">
        <v>0</v>
      </c>
      <c r="M807" s="330" t="s">
        <v>1322</v>
      </c>
    </row>
    <row r="808" s="263" customFormat="1" ht="22" customHeight="1" spans="1:13">
      <c r="A808" s="300" t="s">
        <v>1323</v>
      </c>
      <c r="B808" s="301" t="s">
        <v>1324</v>
      </c>
      <c r="C808" s="302"/>
      <c r="D808" s="303">
        <f t="shared" ref="D808:L808" si="606">D809</f>
        <v>10.2</v>
      </c>
      <c r="E808" s="304">
        <f t="shared" si="606"/>
        <v>0</v>
      </c>
      <c r="F808" s="305">
        <f t="shared" si="606"/>
        <v>0</v>
      </c>
      <c r="G808" s="303">
        <f t="shared" si="606"/>
        <v>0</v>
      </c>
      <c r="H808" s="304">
        <f t="shared" si="606"/>
        <v>0</v>
      </c>
      <c r="I808" s="327">
        <f t="shared" si="606"/>
        <v>10.2</v>
      </c>
      <c r="J808" s="303">
        <f t="shared" si="606"/>
        <v>10.2</v>
      </c>
      <c r="K808" s="304">
        <f t="shared" si="606"/>
        <v>0</v>
      </c>
      <c r="L808" s="305">
        <f t="shared" si="606"/>
        <v>0</v>
      </c>
      <c r="M808" s="328" t="s">
        <v>291</v>
      </c>
    </row>
    <row r="809" s="263" customFormat="1" ht="27" customHeight="1" spans="1:13">
      <c r="A809" s="306" t="s">
        <v>298</v>
      </c>
      <c r="B809" s="307" t="s">
        <v>298</v>
      </c>
      <c r="C809" s="308" t="s">
        <v>560</v>
      </c>
      <c r="D809" s="309">
        <f t="shared" si="602"/>
        <v>10.2</v>
      </c>
      <c r="E809" s="310">
        <f t="shared" si="603"/>
        <v>0</v>
      </c>
      <c r="F809" s="311">
        <v>0</v>
      </c>
      <c r="G809" s="309">
        <v>0</v>
      </c>
      <c r="H809" s="310">
        <v>0</v>
      </c>
      <c r="I809" s="329">
        <f t="shared" si="604"/>
        <v>10.2</v>
      </c>
      <c r="J809" s="309">
        <v>10.2</v>
      </c>
      <c r="K809" s="310">
        <v>0</v>
      </c>
      <c r="L809" s="311">
        <v>0</v>
      </c>
      <c r="M809" s="330" t="s">
        <v>1325</v>
      </c>
    </row>
    <row r="810" s="263" customFormat="1" ht="22" customHeight="1" spans="1:13">
      <c r="A810" s="300" t="s">
        <v>1326</v>
      </c>
      <c r="B810" s="301" t="s">
        <v>1327</v>
      </c>
      <c r="C810" s="302"/>
      <c r="D810" s="303">
        <f t="shared" ref="D810:L810" si="607">D811</f>
        <v>310</v>
      </c>
      <c r="E810" s="304">
        <f t="shared" si="607"/>
        <v>0</v>
      </c>
      <c r="F810" s="305">
        <f t="shared" si="607"/>
        <v>0</v>
      </c>
      <c r="G810" s="303">
        <f t="shared" si="607"/>
        <v>0</v>
      </c>
      <c r="H810" s="304">
        <f t="shared" si="607"/>
        <v>0</v>
      </c>
      <c r="I810" s="327">
        <f t="shared" si="607"/>
        <v>310</v>
      </c>
      <c r="J810" s="303">
        <f t="shared" si="607"/>
        <v>0</v>
      </c>
      <c r="K810" s="304">
        <f t="shared" si="607"/>
        <v>0</v>
      </c>
      <c r="L810" s="305">
        <f t="shared" si="607"/>
        <v>310</v>
      </c>
      <c r="M810" s="328" t="s">
        <v>291</v>
      </c>
    </row>
    <row r="811" s="263" customFormat="1" ht="27" customHeight="1" spans="1:13">
      <c r="A811" s="306" t="s">
        <v>298</v>
      </c>
      <c r="B811" s="307" t="s">
        <v>298</v>
      </c>
      <c r="C811" s="308" t="s">
        <v>560</v>
      </c>
      <c r="D811" s="309">
        <f t="shared" ref="D811:D815" si="608">E811+I811</f>
        <v>310</v>
      </c>
      <c r="E811" s="310">
        <f t="shared" ref="E811:E815" si="609">SUBTOTAL(9,F811:H811)</f>
        <v>0</v>
      </c>
      <c r="F811" s="311">
        <v>0</v>
      </c>
      <c r="G811" s="309">
        <v>0</v>
      </c>
      <c r="H811" s="310">
        <v>0</v>
      </c>
      <c r="I811" s="329">
        <f t="shared" ref="I811:I815" si="610">SUBTOTAL(9,J811:L811)</f>
        <v>310</v>
      </c>
      <c r="J811" s="309">
        <v>0</v>
      </c>
      <c r="K811" s="310">
        <v>0</v>
      </c>
      <c r="L811" s="311">
        <v>310</v>
      </c>
      <c r="M811" s="330" t="s">
        <v>1328</v>
      </c>
    </row>
    <row r="812" s="263" customFormat="1" ht="22" customHeight="1" spans="1:13">
      <c r="A812" s="300" t="s">
        <v>1329</v>
      </c>
      <c r="B812" s="301" t="s">
        <v>1330</v>
      </c>
      <c r="C812" s="302"/>
      <c r="D812" s="303">
        <f t="shared" ref="D812:L812" si="611">SUM(D813:D815)</f>
        <v>8610.9825</v>
      </c>
      <c r="E812" s="304">
        <f t="shared" si="611"/>
        <v>0</v>
      </c>
      <c r="F812" s="305">
        <f t="shared" si="611"/>
        <v>0</v>
      </c>
      <c r="G812" s="303">
        <f t="shared" si="611"/>
        <v>0</v>
      </c>
      <c r="H812" s="304">
        <f t="shared" si="611"/>
        <v>0</v>
      </c>
      <c r="I812" s="327">
        <f t="shared" si="611"/>
        <v>8610.9825</v>
      </c>
      <c r="J812" s="303">
        <f t="shared" si="611"/>
        <v>85.19</v>
      </c>
      <c r="K812" s="304">
        <f t="shared" si="611"/>
        <v>300.7925</v>
      </c>
      <c r="L812" s="305">
        <f t="shared" si="611"/>
        <v>8225</v>
      </c>
      <c r="M812" s="328" t="s">
        <v>291</v>
      </c>
    </row>
    <row r="813" s="263" customFormat="1" ht="102" customHeight="1" spans="1:13">
      <c r="A813" s="306" t="s">
        <v>298</v>
      </c>
      <c r="B813" s="307" t="s">
        <v>298</v>
      </c>
      <c r="C813" s="308" t="s">
        <v>560</v>
      </c>
      <c r="D813" s="309">
        <f t="shared" si="608"/>
        <v>5537.8</v>
      </c>
      <c r="E813" s="310">
        <f t="shared" si="609"/>
        <v>0</v>
      </c>
      <c r="F813" s="311">
        <v>0</v>
      </c>
      <c r="G813" s="309">
        <v>0</v>
      </c>
      <c r="H813" s="310">
        <v>0</v>
      </c>
      <c r="I813" s="329">
        <f t="shared" si="610"/>
        <v>5537.8</v>
      </c>
      <c r="J813" s="309">
        <v>12.8</v>
      </c>
      <c r="K813" s="310">
        <v>0</v>
      </c>
      <c r="L813" s="311">
        <v>5525</v>
      </c>
      <c r="M813" s="330" t="s">
        <v>1331</v>
      </c>
    </row>
    <row r="814" s="263" customFormat="1" ht="37" customHeight="1" spans="1:13">
      <c r="A814" s="306" t="s">
        <v>298</v>
      </c>
      <c r="B814" s="307" t="s">
        <v>298</v>
      </c>
      <c r="C814" s="308" t="s">
        <v>565</v>
      </c>
      <c r="D814" s="309">
        <f t="shared" si="608"/>
        <v>12.39</v>
      </c>
      <c r="E814" s="310">
        <f t="shared" si="609"/>
        <v>0</v>
      </c>
      <c r="F814" s="311">
        <v>0</v>
      </c>
      <c r="G814" s="309">
        <v>0</v>
      </c>
      <c r="H814" s="310">
        <v>0</v>
      </c>
      <c r="I814" s="329">
        <f t="shared" si="610"/>
        <v>12.39</v>
      </c>
      <c r="J814" s="309">
        <v>12.39</v>
      </c>
      <c r="K814" s="310">
        <v>0</v>
      </c>
      <c r="L814" s="311">
        <v>0</v>
      </c>
      <c r="M814" s="330" t="s">
        <v>1332</v>
      </c>
    </row>
    <row r="815" s="263" customFormat="1" ht="49" customHeight="1" spans="1:13">
      <c r="A815" s="306" t="s">
        <v>298</v>
      </c>
      <c r="B815" s="307" t="s">
        <v>298</v>
      </c>
      <c r="C815" s="308"/>
      <c r="D815" s="309">
        <f t="shared" si="608"/>
        <v>3060.7925</v>
      </c>
      <c r="E815" s="310">
        <f t="shared" si="609"/>
        <v>0</v>
      </c>
      <c r="F815" s="311">
        <v>0</v>
      </c>
      <c r="G815" s="309">
        <v>0</v>
      </c>
      <c r="H815" s="310">
        <v>0</v>
      </c>
      <c r="I815" s="329">
        <f t="shared" si="610"/>
        <v>3060.7925</v>
      </c>
      <c r="J815" s="309">
        <v>60</v>
      </c>
      <c r="K815" s="310">
        <v>300.7925</v>
      </c>
      <c r="L815" s="311">
        <v>2700</v>
      </c>
      <c r="M815" s="330" t="s">
        <v>1333</v>
      </c>
    </row>
    <row r="816" s="263" customFormat="1" ht="18.75" customHeight="1" spans="1:13">
      <c r="A816" s="294" t="s">
        <v>1334</v>
      </c>
      <c r="B816" s="295" t="s">
        <v>1335</v>
      </c>
      <c r="C816" s="296"/>
      <c r="D816" s="297">
        <f t="shared" ref="D816:L816" si="612">D817+D819+D824+D828+D831+D833+D836+D838+D840</f>
        <v>11226.3864</v>
      </c>
      <c r="E816" s="298">
        <f t="shared" si="612"/>
        <v>2543.9675</v>
      </c>
      <c r="F816" s="299">
        <f t="shared" si="612"/>
        <v>2263.6156</v>
      </c>
      <c r="G816" s="297">
        <f t="shared" si="612"/>
        <v>128.2291</v>
      </c>
      <c r="H816" s="298">
        <f t="shared" si="612"/>
        <v>152.1228</v>
      </c>
      <c r="I816" s="325">
        <f t="shared" si="612"/>
        <v>8682.4189</v>
      </c>
      <c r="J816" s="297">
        <f t="shared" si="612"/>
        <v>489.9089</v>
      </c>
      <c r="K816" s="298">
        <f t="shared" si="612"/>
        <v>24</v>
      </c>
      <c r="L816" s="299">
        <f t="shared" si="612"/>
        <v>8168.51</v>
      </c>
      <c r="M816" s="326" t="s">
        <v>291</v>
      </c>
    </row>
    <row r="817" s="263" customFormat="1" ht="22" customHeight="1" spans="1:13">
      <c r="A817" s="300" t="s">
        <v>1336</v>
      </c>
      <c r="B817" s="301" t="s">
        <v>1337</v>
      </c>
      <c r="C817" s="302"/>
      <c r="D817" s="303">
        <f t="shared" ref="D817:L817" si="613">D818</f>
        <v>121.7553</v>
      </c>
      <c r="E817" s="304">
        <f t="shared" si="613"/>
        <v>121.7553</v>
      </c>
      <c r="F817" s="305">
        <f t="shared" si="613"/>
        <v>65.1059</v>
      </c>
      <c r="G817" s="303">
        <f t="shared" si="613"/>
        <v>9.882</v>
      </c>
      <c r="H817" s="304">
        <f t="shared" si="613"/>
        <v>46.7674</v>
      </c>
      <c r="I817" s="327">
        <f t="shared" si="613"/>
        <v>0</v>
      </c>
      <c r="J817" s="303">
        <f t="shared" si="613"/>
        <v>0</v>
      </c>
      <c r="K817" s="304">
        <f t="shared" si="613"/>
        <v>0</v>
      </c>
      <c r="L817" s="305">
        <f t="shared" si="613"/>
        <v>0</v>
      </c>
      <c r="M817" s="328" t="s">
        <v>291</v>
      </c>
    </row>
    <row r="818" s="263" customFormat="1" ht="18.75" customHeight="1" spans="1:13">
      <c r="A818" s="306" t="s">
        <v>298</v>
      </c>
      <c r="B818" s="307" t="s">
        <v>298</v>
      </c>
      <c r="C818" s="308" t="s">
        <v>561</v>
      </c>
      <c r="D818" s="309">
        <f t="shared" ref="D818:D823" si="614">E818+I818</f>
        <v>121.7553</v>
      </c>
      <c r="E818" s="310">
        <f t="shared" ref="E818:E823" si="615">SUBTOTAL(9,F818:H818)</f>
        <v>121.7553</v>
      </c>
      <c r="F818" s="311">
        <v>65.1059</v>
      </c>
      <c r="G818" s="309">
        <v>9.882</v>
      </c>
      <c r="H818" s="310">
        <v>46.7674</v>
      </c>
      <c r="I818" s="329">
        <f t="shared" ref="I818:I823" si="616">SUBTOTAL(9,J818:L818)</f>
        <v>0</v>
      </c>
      <c r="J818" s="309">
        <v>0</v>
      </c>
      <c r="K818" s="310">
        <v>0</v>
      </c>
      <c r="L818" s="311">
        <v>0</v>
      </c>
      <c r="M818" s="330" t="s">
        <v>291</v>
      </c>
    </row>
    <row r="819" s="263" customFormat="1" ht="22" customHeight="1" spans="1:13">
      <c r="A819" s="300" t="s">
        <v>1338</v>
      </c>
      <c r="B819" s="301" t="s">
        <v>1339</v>
      </c>
      <c r="C819" s="302"/>
      <c r="D819" s="303">
        <f t="shared" ref="D819:L819" si="617">SUM(D820:D823)</f>
        <v>2699.1122</v>
      </c>
      <c r="E819" s="304">
        <f t="shared" si="617"/>
        <v>2422.2122</v>
      </c>
      <c r="F819" s="305">
        <f t="shared" si="617"/>
        <v>2198.5097</v>
      </c>
      <c r="G819" s="303">
        <f t="shared" si="617"/>
        <v>118.3471</v>
      </c>
      <c r="H819" s="304">
        <f t="shared" si="617"/>
        <v>105.3554</v>
      </c>
      <c r="I819" s="327">
        <f t="shared" si="617"/>
        <v>276.9</v>
      </c>
      <c r="J819" s="303">
        <f t="shared" si="617"/>
        <v>276.9</v>
      </c>
      <c r="K819" s="304">
        <f t="shared" si="617"/>
        <v>0</v>
      </c>
      <c r="L819" s="305">
        <f t="shared" si="617"/>
        <v>0</v>
      </c>
      <c r="M819" s="328" t="s">
        <v>291</v>
      </c>
    </row>
    <row r="820" s="263" customFormat="1" ht="18.75" customHeight="1" spans="1:13">
      <c r="A820" s="306" t="s">
        <v>298</v>
      </c>
      <c r="B820" s="307" t="s">
        <v>298</v>
      </c>
      <c r="C820" s="308" t="s">
        <v>560</v>
      </c>
      <c r="D820" s="309">
        <f t="shared" si="614"/>
        <v>38.1375</v>
      </c>
      <c r="E820" s="310">
        <f t="shared" si="615"/>
        <v>38.1375</v>
      </c>
      <c r="F820" s="311">
        <v>32.9475</v>
      </c>
      <c r="G820" s="309">
        <v>5.184</v>
      </c>
      <c r="H820" s="310">
        <v>0.006</v>
      </c>
      <c r="I820" s="329">
        <f t="shared" si="616"/>
        <v>0</v>
      </c>
      <c r="J820" s="309">
        <v>0</v>
      </c>
      <c r="K820" s="310">
        <v>0</v>
      </c>
      <c r="L820" s="311">
        <v>0</v>
      </c>
      <c r="M820" s="330" t="s">
        <v>291</v>
      </c>
    </row>
    <row r="821" s="263" customFormat="1" ht="18.75" customHeight="1" spans="1:13">
      <c r="A821" s="306" t="s">
        <v>298</v>
      </c>
      <c r="B821" s="307" t="s">
        <v>298</v>
      </c>
      <c r="C821" s="308" t="s">
        <v>561</v>
      </c>
      <c r="D821" s="309">
        <f t="shared" si="614"/>
        <v>1233.7524</v>
      </c>
      <c r="E821" s="310">
        <f t="shared" si="615"/>
        <v>1233.7524</v>
      </c>
      <c r="F821" s="311">
        <v>1154.0893</v>
      </c>
      <c r="G821" s="309">
        <v>79.6631</v>
      </c>
      <c r="H821" s="310">
        <v>0</v>
      </c>
      <c r="I821" s="329">
        <f t="shared" si="616"/>
        <v>0</v>
      </c>
      <c r="J821" s="309">
        <v>0</v>
      </c>
      <c r="K821" s="310">
        <v>0</v>
      </c>
      <c r="L821" s="311">
        <v>0</v>
      </c>
      <c r="M821" s="330" t="s">
        <v>291</v>
      </c>
    </row>
    <row r="822" s="263" customFormat="1" ht="18.75" customHeight="1" spans="1:13">
      <c r="A822" s="306" t="s">
        <v>298</v>
      </c>
      <c r="B822" s="307" t="s">
        <v>298</v>
      </c>
      <c r="C822" s="308" t="s">
        <v>570</v>
      </c>
      <c r="D822" s="309">
        <f t="shared" si="614"/>
        <v>95.0188</v>
      </c>
      <c r="E822" s="310">
        <f t="shared" si="615"/>
        <v>95.0188</v>
      </c>
      <c r="F822" s="311">
        <v>77.5248</v>
      </c>
      <c r="G822" s="309">
        <v>2.5</v>
      </c>
      <c r="H822" s="310">
        <v>14.994</v>
      </c>
      <c r="I822" s="329">
        <f t="shared" si="616"/>
        <v>0</v>
      </c>
      <c r="J822" s="309">
        <v>0</v>
      </c>
      <c r="K822" s="310">
        <v>0</v>
      </c>
      <c r="L822" s="311">
        <v>0</v>
      </c>
      <c r="M822" s="330" t="s">
        <v>291</v>
      </c>
    </row>
    <row r="823" s="263" customFormat="1" ht="38" customHeight="1" spans="1:13">
      <c r="A823" s="306" t="s">
        <v>298</v>
      </c>
      <c r="B823" s="307" t="s">
        <v>298</v>
      </c>
      <c r="C823" s="308" t="s">
        <v>571</v>
      </c>
      <c r="D823" s="309">
        <f t="shared" si="614"/>
        <v>1332.2035</v>
      </c>
      <c r="E823" s="310">
        <f t="shared" si="615"/>
        <v>1055.3035</v>
      </c>
      <c r="F823" s="311">
        <v>933.9481</v>
      </c>
      <c r="G823" s="309">
        <v>31</v>
      </c>
      <c r="H823" s="310">
        <v>90.3554</v>
      </c>
      <c r="I823" s="329">
        <f t="shared" si="616"/>
        <v>276.9</v>
      </c>
      <c r="J823" s="309">
        <v>276.9</v>
      </c>
      <c r="K823" s="310">
        <v>0</v>
      </c>
      <c r="L823" s="311">
        <v>0</v>
      </c>
      <c r="M823" s="330" t="s">
        <v>1340</v>
      </c>
    </row>
    <row r="824" s="263" customFormat="1" ht="22" customHeight="1" spans="1:13">
      <c r="A824" s="300" t="s">
        <v>1341</v>
      </c>
      <c r="B824" s="301" t="s">
        <v>1342</v>
      </c>
      <c r="C824" s="302"/>
      <c r="D824" s="303">
        <f t="shared" ref="D824:L824" si="618">SUM(D825:D827)</f>
        <v>2499.7189</v>
      </c>
      <c r="E824" s="304">
        <f t="shared" si="618"/>
        <v>0</v>
      </c>
      <c r="F824" s="305">
        <f t="shared" si="618"/>
        <v>0</v>
      </c>
      <c r="G824" s="303">
        <f t="shared" si="618"/>
        <v>0</v>
      </c>
      <c r="H824" s="304">
        <f t="shared" si="618"/>
        <v>0</v>
      </c>
      <c r="I824" s="327">
        <f t="shared" si="618"/>
        <v>2499.7189</v>
      </c>
      <c r="J824" s="303">
        <f t="shared" si="618"/>
        <v>27.9189</v>
      </c>
      <c r="K824" s="304">
        <f t="shared" si="618"/>
        <v>0</v>
      </c>
      <c r="L824" s="305">
        <f t="shared" si="618"/>
        <v>2471.8</v>
      </c>
      <c r="M824" s="328" t="s">
        <v>291</v>
      </c>
    </row>
    <row r="825" s="263" customFormat="1" ht="38" customHeight="1" spans="1:13">
      <c r="A825" s="306" t="s">
        <v>298</v>
      </c>
      <c r="B825" s="307" t="s">
        <v>298</v>
      </c>
      <c r="C825" s="308" t="s">
        <v>561</v>
      </c>
      <c r="D825" s="309">
        <f t="shared" ref="D825:D827" si="619">E825+I825</f>
        <v>2471.8</v>
      </c>
      <c r="E825" s="310">
        <f t="shared" ref="E825:E827" si="620">SUBTOTAL(9,F825:H825)</f>
        <v>0</v>
      </c>
      <c r="F825" s="311">
        <v>0</v>
      </c>
      <c r="G825" s="309">
        <v>0</v>
      </c>
      <c r="H825" s="310">
        <v>0</v>
      </c>
      <c r="I825" s="329">
        <f t="shared" ref="I825:I827" si="621">SUBTOTAL(9,J825:L825)</f>
        <v>2471.8</v>
      </c>
      <c r="J825" s="309">
        <v>0</v>
      </c>
      <c r="K825" s="310">
        <v>0</v>
      </c>
      <c r="L825" s="311">
        <v>2471.8</v>
      </c>
      <c r="M825" s="330" t="s">
        <v>1343</v>
      </c>
    </row>
    <row r="826" s="263" customFormat="1" ht="18.75" customHeight="1" spans="1:13">
      <c r="A826" s="306" t="s">
        <v>298</v>
      </c>
      <c r="B826" s="307" t="s">
        <v>298</v>
      </c>
      <c r="C826" s="308" t="s">
        <v>570</v>
      </c>
      <c r="D826" s="309">
        <f t="shared" si="619"/>
        <v>26.1589</v>
      </c>
      <c r="E826" s="310">
        <f t="shared" si="620"/>
        <v>0</v>
      </c>
      <c r="F826" s="311">
        <v>0</v>
      </c>
      <c r="G826" s="309">
        <v>0</v>
      </c>
      <c r="H826" s="310">
        <v>0</v>
      </c>
      <c r="I826" s="329">
        <f t="shared" si="621"/>
        <v>26.1589</v>
      </c>
      <c r="J826" s="309">
        <v>26.1589</v>
      </c>
      <c r="K826" s="310">
        <v>0</v>
      </c>
      <c r="L826" s="311">
        <v>0</v>
      </c>
      <c r="M826" s="330" t="s">
        <v>1344</v>
      </c>
    </row>
    <row r="827" s="263" customFormat="1" ht="18.75" customHeight="1" spans="1:13">
      <c r="A827" s="306" t="s">
        <v>298</v>
      </c>
      <c r="B827" s="307" t="s">
        <v>298</v>
      </c>
      <c r="C827" s="308" t="s">
        <v>571</v>
      </c>
      <c r="D827" s="309">
        <f t="shared" si="619"/>
        <v>1.76</v>
      </c>
      <c r="E827" s="310">
        <f t="shared" si="620"/>
        <v>0</v>
      </c>
      <c r="F827" s="311">
        <v>0</v>
      </c>
      <c r="G827" s="309">
        <v>0</v>
      </c>
      <c r="H827" s="310">
        <v>0</v>
      </c>
      <c r="I827" s="329">
        <f t="shared" si="621"/>
        <v>1.76</v>
      </c>
      <c r="J827" s="309">
        <v>1.76</v>
      </c>
      <c r="K827" s="310">
        <v>0</v>
      </c>
      <c r="L827" s="311">
        <v>0</v>
      </c>
      <c r="M827" s="330" t="s">
        <v>1345</v>
      </c>
    </row>
    <row r="828" s="263" customFormat="1" ht="22" customHeight="1" spans="1:13">
      <c r="A828" s="300" t="s">
        <v>1346</v>
      </c>
      <c r="B828" s="301" t="s">
        <v>1347</v>
      </c>
      <c r="C828" s="302"/>
      <c r="D828" s="303">
        <f t="shared" ref="D828:L828" si="622">SUM(D829:D830)</f>
        <v>223.3</v>
      </c>
      <c r="E828" s="304">
        <f t="shared" si="622"/>
        <v>0</v>
      </c>
      <c r="F828" s="305">
        <f t="shared" si="622"/>
        <v>0</v>
      </c>
      <c r="G828" s="303">
        <f t="shared" si="622"/>
        <v>0</v>
      </c>
      <c r="H828" s="304">
        <f t="shared" si="622"/>
        <v>0</v>
      </c>
      <c r="I828" s="327">
        <f t="shared" si="622"/>
        <v>223.3</v>
      </c>
      <c r="J828" s="303">
        <f t="shared" si="622"/>
        <v>3.3</v>
      </c>
      <c r="K828" s="304">
        <f t="shared" si="622"/>
        <v>0</v>
      </c>
      <c r="L828" s="305">
        <f t="shared" si="622"/>
        <v>220</v>
      </c>
      <c r="M828" s="328" t="s">
        <v>291</v>
      </c>
    </row>
    <row r="829" s="263" customFormat="1" ht="18.75" customHeight="1" spans="1:13">
      <c r="A829" s="306" t="s">
        <v>298</v>
      </c>
      <c r="B829" s="307" t="s">
        <v>298</v>
      </c>
      <c r="C829" s="308" t="s">
        <v>561</v>
      </c>
      <c r="D829" s="309">
        <f t="shared" ref="D829:D832" si="623">E829+I829</f>
        <v>220</v>
      </c>
      <c r="E829" s="310">
        <f t="shared" ref="E829:E832" si="624">SUBTOTAL(9,F829:H829)</f>
        <v>0</v>
      </c>
      <c r="F829" s="311">
        <v>0</v>
      </c>
      <c r="G829" s="309">
        <v>0</v>
      </c>
      <c r="H829" s="310">
        <v>0</v>
      </c>
      <c r="I829" s="329">
        <f t="shared" ref="I829:I832" si="625">SUBTOTAL(9,J829:L829)</f>
        <v>220</v>
      </c>
      <c r="J829" s="309">
        <v>0</v>
      </c>
      <c r="K829" s="310">
        <v>0</v>
      </c>
      <c r="L829" s="311">
        <v>220</v>
      </c>
      <c r="M829" s="330" t="s">
        <v>1348</v>
      </c>
    </row>
    <row r="830" s="263" customFormat="1" ht="30" customHeight="1" spans="1:13">
      <c r="A830" s="306" t="s">
        <v>298</v>
      </c>
      <c r="B830" s="307" t="s">
        <v>298</v>
      </c>
      <c r="C830" s="308" t="s">
        <v>571</v>
      </c>
      <c r="D830" s="309">
        <f t="shared" si="623"/>
        <v>3.3</v>
      </c>
      <c r="E830" s="310">
        <f t="shared" si="624"/>
        <v>0</v>
      </c>
      <c r="F830" s="311">
        <v>0</v>
      </c>
      <c r="G830" s="309">
        <v>0</v>
      </c>
      <c r="H830" s="310">
        <v>0</v>
      </c>
      <c r="I830" s="329">
        <f t="shared" si="625"/>
        <v>3.3</v>
      </c>
      <c r="J830" s="309">
        <v>3.3</v>
      </c>
      <c r="K830" s="310">
        <v>0</v>
      </c>
      <c r="L830" s="311">
        <v>0</v>
      </c>
      <c r="M830" s="330" t="s">
        <v>1349</v>
      </c>
    </row>
    <row r="831" s="263" customFormat="1" ht="22" customHeight="1" spans="1:13">
      <c r="A831" s="300" t="s">
        <v>1350</v>
      </c>
      <c r="B831" s="301" t="s">
        <v>1351</v>
      </c>
      <c r="C831" s="302"/>
      <c r="D831" s="303">
        <f t="shared" ref="D831:L831" si="626">D832</f>
        <v>3533.58</v>
      </c>
      <c r="E831" s="304">
        <f t="shared" si="626"/>
        <v>0</v>
      </c>
      <c r="F831" s="305">
        <f t="shared" si="626"/>
        <v>0</v>
      </c>
      <c r="G831" s="303">
        <f t="shared" si="626"/>
        <v>0</v>
      </c>
      <c r="H831" s="304">
        <f t="shared" si="626"/>
        <v>0</v>
      </c>
      <c r="I831" s="327">
        <f t="shared" si="626"/>
        <v>3533.58</v>
      </c>
      <c r="J831" s="303">
        <f t="shared" si="626"/>
        <v>0</v>
      </c>
      <c r="K831" s="304">
        <f t="shared" si="626"/>
        <v>0</v>
      </c>
      <c r="L831" s="305">
        <f t="shared" si="626"/>
        <v>3533.58</v>
      </c>
      <c r="M831" s="328" t="s">
        <v>291</v>
      </c>
    </row>
    <row r="832" s="263" customFormat="1" ht="30" customHeight="1" spans="1:13">
      <c r="A832" s="306" t="s">
        <v>298</v>
      </c>
      <c r="B832" s="307" t="s">
        <v>298</v>
      </c>
      <c r="C832" s="308" t="s">
        <v>561</v>
      </c>
      <c r="D832" s="309">
        <f t="shared" si="623"/>
        <v>3533.58</v>
      </c>
      <c r="E832" s="310">
        <f t="shared" si="624"/>
        <v>0</v>
      </c>
      <c r="F832" s="311">
        <v>0</v>
      </c>
      <c r="G832" s="309">
        <v>0</v>
      </c>
      <c r="H832" s="310">
        <v>0</v>
      </c>
      <c r="I832" s="329">
        <f t="shared" si="625"/>
        <v>3533.58</v>
      </c>
      <c r="J832" s="309">
        <v>0</v>
      </c>
      <c r="K832" s="310">
        <v>0</v>
      </c>
      <c r="L832" s="311">
        <v>3533.58</v>
      </c>
      <c r="M832" s="330" t="s">
        <v>1352</v>
      </c>
    </row>
    <row r="833" s="263" customFormat="1" ht="22" customHeight="1" spans="1:13">
      <c r="A833" s="300" t="s">
        <v>1353</v>
      </c>
      <c r="B833" s="301" t="s">
        <v>1354</v>
      </c>
      <c r="C833" s="302"/>
      <c r="D833" s="303">
        <f t="shared" ref="D833:L833" si="627">SUM(D834:D835)</f>
        <v>19.7</v>
      </c>
      <c r="E833" s="304">
        <f t="shared" si="627"/>
        <v>0</v>
      </c>
      <c r="F833" s="305">
        <f t="shared" si="627"/>
        <v>0</v>
      </c>
      <c r="G833" s="303">
        <f t="shared" si="627"/>
        <v>0</v>
      </c>
      <c r="H833" s="304">
        <f t="shared" si="627"/>
        <v>0</v>
      </c>
      <c r="I833" s="327">
        <f t="shared" si="627"/>
        <v>19.7</v>
      </c>
      <c r="J833" s="303">
        <f t="shared" si="627"/>
        <v>19.7</v>
      </c>
      <c r="K833" s="304">
        <f t="shared" si="627"/>
        <v>0</v>
      </c>
      <c r="L833" s="305">
        <f t="shared" si="627"/>
        <v>0</v>
      </c>
      <c r="M833" s="328" t="s">
        <v>291</v>
      </c>
    </row>
    <row r="834" s="263" customFormat="1" ht="30" customHeight="1" spans="1:13">
      <c r="A834" s="306" t="s">
        <v>298</v>
      </c>
      <c r="B834" s="307" t="s">
        <v>298</v>
      </c>
      <c r="C834" s="308" t="s">
        <v>561</v>
      </c>
      <c r="D834" s="309">
        <f t="shared" ref="D834:D837" si="628">E834+I834</f>
        <v>18</v>
      </c>
      <c r="E834" s="310">
        <f t="shared" ref="E834:E837" si="629">SUBTOTAL(9,F834:H834)</f>
        <v>0</v>
      </c>
      <c r="F834" s="311">
        <v>0</v>
      </c>
      <c r="G834" s="309">
        <v>0</v>
      </c>
      <c r="H834" s="310">
        <v>0</v>
      </c>
      <c r="I834" s="329">
        <f t="shared" ref="I834:I837" si="630">SUBTOTAL(9,J834:L834)</f>
        <v>18</v>
      </c>
      <c r="J834" s="309">
        <v>18</v>
      </c>
      <c r="K834" s="310">
        <v>0</v>
      </c>
      <c r="L834" s="311">
        <v>0</v>
      </c>
      <c r="M834" s="330" t="s">
        <v>1355</v>
      </c>
    </row>
    <row r="835" s="263" customFormat="1" ht="18.75" customHeight="1" spans="1:13">
      <c r="A835" s="306" t="s">
        <v>298</v>
      </c>
      <c r="B835" s="307" t="s">
        <v>298</v>
      </c>
      <c r="C835" s="308" t="s">
        <v>571</v>
      </c>
      <c r="D835" s="309">
        <f t="shared" si="628"/>
        <v>1.7</v>
      </c>
      <c r="E835" s="310">
        <f t="shared" si="629"/>
        <v>0</v>
      </c>
      <c r="F835" s="311">
        <v>0</v>
      </c>
      <c r="G835" s="309">
        <v>0</v>
      </c>
      <c r="H835" s="310">
        <v>0</v>
      </c>
      <c r="I835" s="329">
        <f t="shared" si="630"/>
        <v>1.7</v>
      </c>
      <c r="J835" s="309">
        <v>1.7</v>
      </c>
      <c r="K835" s="310">
        <v>0</v>
      </c>
      <c r="L835" s="311">
        <v>0</v>
      </c>
      <c r="M835" s="330" t="s">
        <v>1356</v>
      </c>
    </row>
    <row r="836" s="263" customFormat="1" ht="22" customHeight="1" spans="1:13">
      <c r="A836" s="300" t="s">
        <v>1357</v>
      </c>
      <c r="B836" s="301" t="s">
        <v>1358</v>
      </c>
      <c r="C836" s="302"/>
      <c r="D836" s="303">
        <f t="shared" ref="D836:L836" si="631">D837</f>
        <v>18</v>
      </c>
      <c r="E836" s="304">
        <f t="shared" si="631"/>
        <v>0</v>
      </c>
      <c r="F836" s="305">
        <f t="shared" si="631"/>
        <v>0</v>
      </c>
      <c r="G836" s="303">
        <f t="shared" si="631"/>
        <v>0</v>
      </c>
      <c r="H836" s="304">
        <f t="shared" si="631"/>
        <v>0</v>
      </c>
      <c r="I836" s="327">
        <f t="shared" si="631"/>
        <v>18</v>
      </c>
      <c r="J836" s="303">
        <f t="shared" si="631"/>
        <v>18</v>
      </c>
      <c r="K836" s="304">
        <f t="shared" si="631"/>
        <v>0</v>
      </c>
      <c r="L836" s="305">
        <f t="shared" si="631"/>
        <v>0</v>
      </c>
      <c r="M836" s="328" t="s">
        <v>291</v>
      </c>
    </row>
    <row r="837" s="263" customFormat="1" ht="24" customHeight="1" spans="1:13">
      <c r="A837" s="306" t="s">
        <v>298</v>
      </c>
      <c r="B837" s="307" t="s">
        <v>298</v>
      </c>
      <c r="C837" s="308" t="s">
        <v>561</v>
      </c>
      <c r="D837" s="309">
        <f t="shared" si="628"/>
        <v>18</v>
      </c>
      <c r="E837" s="310">
        <f t="shared" si="629"/>
        <v>0</v>
      </c>
      <c r="F837" s="311">
        <v>0</v>
      </c>
      <c r="G837" s="309">
        <v>0</v>
      </c>
      <c r="H837" s="310">
        <v>0</v>
      </c>
      <c r="I837" s="329">
        <f t="shared" si="630"/>
        <v>18</v>
      </c>
      <c r="J837" s="309">
        <v>18</v>
      </c>
      <c r="K837" s="310">
        <v>0</v>
      </c>
      <c r="L837" s="311">
        <v>0</v>
      </c>
      <c r="M837" s="330" t="s">
        <v>1359</v>
      </c>
    </row>
    <row r="838" s="263" customFormat="1" ht="22" customHeight="1" spans="1:13">
      <c r="A838" s="300" t="s">
        <v>1360</v>
      </c>
      <c r="B838" s="301" t="s">
        <v>1361</v>
      </c>
      <c r="C838" s="302"/>
      <c r="D838" s="303">
        <f t="shared" ref="D838:L838" si="632">D839</f>
        <v>10.5</v>
      </c>
      <c r="E838" s="304">
        <f t="shared" si="632"/>
        <v>0</v>
      </c>
      <c r="F838" s="305">
        <f t="shared" si="632"/>
        <v>0</v>
      </c>
      <c r="G838" s="303">
        <f t="shared" si="632"/>
        <v>0</v>
      </c>
      <c r="H838" s="304">
        <f t="shared" si="632"/>
        <v>0</v>
      </c>
      <c r="I838" s="327">
        <f t="shared" si="632"/>
        <v>10.5</v>
      </c>
      <c r="J838" s="303">
        <f t="shared" si="632"/>
        <v>10.5</v>
      </c>
      <c r="K838" s="304">
        <f t="shared" si="632"/>
        <v>0</v>
      </c>
      <c r="L838" s="305">
        <f t="shared" si="632"/>
        <v>0</v>
      </c>
      <c r="M838" s="328" t="s">
        <v>291</v>
      </c>
    </row>
    <row r="839" s="263" customFormat="1" ht="18.75" customHeight="1" spans="1:13">
      <c r="A839" s="306" t="s">
        <v>298</v>
      </c>
      <c r="B839" s="307" t="s">
        <v>298</v>
      </c>
      <c r="C839" s="308" t="s">
        <v>561</v>
      </c>
      <c r="D839" s="309">
        <f t="shared" ref="D839:D842" si="633">E839+I839</f>
        <v>10.5</v>
      </c>
      <c r="E839" s="310">
        <f t="shared" ref="E839:E842" si="634">SUBTOTAL(9,F839:H839)</f>
        <v>0</v>
      </c>
      <c r="F839" s="311">
        <v>0</v>
      </c>
      <c r="G839" s="309">
        <v>0</v>
      </c>
      <c r="H839" s="310">
        <v>0</v>
      </c>
      <c r="I839" s="329">
        <f t="shared" ref="I839:I842" si="635">SUBTOTAL(9,J839:L839)</f>
        <v>10.5</v>
      </c>
      <c r="J839" s="309">
        <v>10.5</v>
      </c>
      <c r="K839" s="310">
        <v>0</v>
      </c>
      <c r="L839" s="311">
        <v>0</v>
      </c>
      <c r="M839" s="330" t="s">
        <v>1362</v>
      </c>
    </row>
    <row r="840" s="263" customFormat="1" ht="22" customHeight="1" spans="1:13">
      <c r="A840" s="300" t="s">
        <v>1363</v>
      </c>
      <c r="B840" s="301" t="s">
        <v>1364</v>
      </c>
      <c r="C840" s="302"/>
      <c r="D840" s="303">
        <f t="shared" ref="D840:L840" si="636">SUM(D841:D842)</f>
        <v>2100.72</v>
      </c>
      <c r="E840" s="304">
        <f t="shared" si="636"/>
        <v>0</v>
      </c>
      <c r="F840" s="305">
        <f t="shared" si="636"/>
        <v>0</v>
      </c>
      <c r="G840" s="303">
        <f t="shared" si="636"/>
        <v>0</v>
      </c>
      <c r="H840" s="304">
        <f t="shared" si="636"/>
        <v>0</v>
      </c>
      <c r="I840" s="327">
        <f t="shared" si="636"/>
        <v>2100.72</v>
      </c>
      <c r="J840" s="303">
        <f t="shared" si="636"/>
        <v>133.59</v>
      </c>
      <c r="K840" s="304">
        <f t="shared" si="636"/>
        <v>24</v>
      </c>
      <c r="L840" s="305">
        <f t="shared" si="636"/>
        <v>1943.13</v>
      </c>
      <c r="M840" s="328" t="s">
        <v>291</v>
      </c>
    </row>
    <row r="841" s="263" customFormat="1" ht="237" customHeight="1" spans="1:13">
      <c r="A841" s="306" t="s">
        <v>298</v>
      </c>
      <c r="B841" s="307" t="s">
        <v>298</v>
      </c>
      <c r="C841" s="308" t="s">
        <v>561</v>
      </c>
      <c r="D841" s="309">
        <f t="shared" si="633"/>
        <v>2076.72</v>
      </c>
      <c r="E841" s="310">
        <f t="shared" si="634"/>
        <v>0</v>
      </c>
      <c r="F841" s="311">
        <v>0</v>
      </c>
      <c r="G841" s="309">
        <v>0</v>
      </c>
      <c r="H841" s="310">
        <v>0</v>
      </c>
      <c r="I841" s="329">
        <f t="shared" si="635"/>
        <v>2076.72</v>
      </c>
      <c r="J841" s="309">
        <v>133.59</v>
      </c>
      <c r="K841" s="310">
        <v>0</v>
      </c>
      <c r="L841" s="311">
        <v>1943.13</v>
      </c>
      <c r="M841" s="330" t="s">
        <v>1365</v>
      </c>
    </row>
    <row r="842" s="263" customFormat="1" ht="27" customHeight="1" spans="1:13">
      <c r="A842" s="306" t="s">
        <v>298</v>
      </c>
      <c r="B842" s="307" t="s">
        <v>298</v>
      </c>
      <c r="C842" s="308"/>
      <c r="D842" s="309">
        <f t="shared" si="633"/>
        <v>24</v>
      </c>
      <c r="E842" s="310">
        <f t="shared" si="634"/>
        <v>0</v>
      </c>
      <c r="F842" s="311">
        <v>0</v>
      </c>
      <c r="G842" s="309">
        <v>0</v>
      </c>
      <c r="H842" s="310">
        <v>0</v>
      </c>
      <c r="I842" s="329">
        <f t="shared" si="635"/>
        <v>24</v>
      </c>
      <c r="J842" s="309">
        <v>0</v>
      </c>
      <c r="K842" s="310">
        <v>24</v>
      </c>
      <c r="L842" s="311">
        <v>0</v>
      </c>
      <c r="M842" s="330" t="s">
        <v>1366</v>
      </c>
    </row>
    <row r="843" s="263" customFormat="1" ht="27" customHeight="1" spans="1:13">
      <c r="A843" s="294" t="s">
        <v>1367</v>
      </c>
      <c r="B843" s="295" t="s">
        <v>1368</v>
      </c>
      <c r="C843" s="296"/>
      <c r="D843" s="297">
        <f t="shared" ref="D843:L843" si="637">D844+D846+D849+D851+D853+D855+D857+D859+D861+D863+D865</f>
        <v>14054.592</v>
      </c>
      <c r="E843" s="298">
        <f t="shared" si="637"/>
        <v>564.532</v>
      </c>
      <c r="F843" s="299">
        <f t="shared" si="637"/>
        <v>498.8625</v>
      </c>
      <c r="G843" s="297">
        <f t="shared" si="637"/>
        <v>44.7163</v>
      </c>
      <c r="H843" s="298">
        <f t="shared" si="637"/>
        <v>20.9532</v>
      </c>
      <c r="I843" s="325">
        <f t="shared" si="637"/>
        <v>13490.06</v>
      </c>
      <c r="J843" s="297">
        <f t="shared" si="637"/>
        <v>159.06</v>
      </c>
      <c r="K843" s="298">
        <f t="shared" si="637"/>
        <v>50</v>
      </c>
      <c r="L843" s="299">
        <f t="shared" si="637"/>
        <v>13281</v>
      </c>
      <c r="M843" s="326" t="s">
        <v>291</v>
      </c>
    </row>
    <row r="844" s="263" customFormat="1" ht="27" customHeight="1" spans="1:13">
      <c r="A844" s="300" t="s">
        <v>1369</v>
      </c>
      <c r="B844" s="301" t="s">
        <v>1370</v>
      </c>
      <c r="C844" s="302"/>
      <c r="D844" s="303">
        <f t="shared" ref="D844:L844" si="638">D845</f>
        <v>112.429</v>
      </c>
      <c r="E844" s="304">
        <f t="shared" si="638"/>
        <v>105.109</v>
      </c>
      <c r="F844" s="305">
        <f t="shared" si="638"/>
        <v>74.9067</v>
      </c>
      <c r="G844" s="303">
        <f t="shared" si="638"/>
        <v>11.267</v>
      </c>
      <c r="H844" s="304">
        <f t="shared" si="638"/>
        <v>18.9353</v>
      </c>
      <c r="I844" s="327">
        <f t="shared" si="638"/>
        <v>7.32</v>
      </c>
      <c r="J844" s="303">
        <f t="shared" si="638"/>
        <v>7.32</v>
      </c>
      <c r="K844" s="304">
        <f t="shared" si="638"/>
        <v>0</v>
      </c>
      <c r="L844" s="305">
        <f t="shared" si="638"/>
        <v>0</v>
      </c>
      <c r="M844" s="328" t="s">
        <v>291</v>
      </c>
    </row>
    <row r="845" s="263" customFormat="1" ht="30" customHeight="1" spans="1:13">
      <c r="A845" s="306" t="s">
        <v>298</v>
      </c>
      <c r="B845" s="307" t="s">
        <v>298</v>
      </c>
      <c r="C845" s="308" t="s">
        <v>562</v>
      </c>
      <c r="D845" s="309">
        <f t="shared" ref="D845:D848" si="639">E845+I845</f>
        <v>112.429</v>
      </c>
      <c r="E845" s="310">
        <f t="shared" ref="E845:E850" si="640">SUBTOTAL(9,F845:H845)</f>
        <v>105.109</v>
      </c>
      <c r="F845" s="311">
        <v>74.9067</v>
      </c>
      <c r="G845" s="309">
        <v>11.267</v>
      </c>
      <c r="H845" s="310">
        <v>18.9353</v>
      </c>
      <c r="I845" s="329">
        <f t="shared" ref="I845:I850" si="641">SUBTOTAL(9,J845:L845)</f>
        <v>7.32</v>
      </c>
      <c r="J845" s="309">
        <v>7.32</v>
      </c>
      <c r="K845" s="310">
        <v>0</v>
      </c>
      <c r="L845" s="311">
        <v>0</v>
      </c>
      <c r="M845" s="330" t="s">
        <v>1371</v>
      </c>
    </row>
    <row r="846" s="263" customFormat="1" ht="22" customHeight="1" spans="1:13">
      <c r="A846" s="300" t="s">
        <v>1372</v>
      </c>
      <c r="B846" s="301" t="s">
        <v>1373</v>
      </c>
      <c r="C846" s="302"/>
      <c r="D846" s="303">
        <f t="shared" ref="D846:L846" si="642">SUM(D847:D848)</f>
        <v>472.923</v>
      </c>
      <c r="E846" s="304">
        <f t="shared" si="642"/>
        <v>459.423</v>
      </c>
      <c r="F846" s="305">
        <f t="shared" si="642"/>
        <v>423.9558</v>
      </c>
      <c r="G846" s="303">
        <f t="shared" si="642"/>
        <v>33.4493</v>
      </c>
      <c r="H846" s="304">
        <f t="shared" si="642"/>
        <v>2.0179</v>
      </c>
      <c r="I846" s="327">
        <f t="shared" si="642"/>
        <v>13.5</v>
      </c>
      <c r="J846" s="303">
        <f t="shared" si="642"/>
        <v>13.5</v>
      </c>
      <c r="K846" s="304">
        <f t="shared" si="642"/>
        <v>0</v>
      </c>
      <c r="L846" s="305">
        <f t="shared" si="642"/>
        <v>0</v>
      </c>
      <c r="M846" s="328" t="s">
        <v>291</v>
      </c>
    </row>
    <row r="847" s="263" customFormat="1" ht="37" customHeight="1" spans="1:13">
      <c r="A847" s="306" t="s">
        <v>298</v>
      </c>
      <c r="B847" s="307" t="s">
        <v>298</v>
      </c>
      <c r="C847" s="308" t="s">
        <v>562</v>
      </c>
      <c r="D847" s="309">
        <f t="shared" si="639"/>
        <v>264.0998</v>
      </c>
      <c r="E847" s="310">
        <f t="shared" si="640"/>
        <v>250.5998</v>
      </c>
      <c r="F847" s="311">
        <v>226.7999</v>
      </c>
      <c r="G847" s="309">
        <v>21.782</v>
      </c>
      <c r="H847" s="310">
        <v>2.0179</v>
      </c>
      <c r="I847" s="329">
        <f t="shared" si="641"/>
        <v>13.5</v>
      </c>
      <c r="J847" s="309">
        <v>13.5</v>
      </c>
      <c r="K847" s="310">
        <v>0</v>
      </c>
      <c r="L847" s="311">
        <v>0</v>
      </c>
      <c r="M847" s="330" t="s">
        <v>1374</v>
      </c>
    </row>
    <row r="848" s="263" customFormat="1" ht="24" customHeight="1" spans="1:13">
      <c r="A848" s="306"/>
      <c r="B848" s="307"/>
      <c r="C848" s="308" t="s">
        <v>301</v>
      </c>
      <c r="D848" s="309">
        <f t="shared" si="639"/>
        <v>208.8232</v>
      </c>
      <c r="E848" s="310">
        <f>SUM(F848:H848)</f>
        <v>208.8232</v>
      </c>
      <c r="F848" s="310">
        <v>197.1559</v>
      </c>
      <c r="G848" s="310">
        <v>11.6673</v>
      </c>
      <c r="H848" s="310">
        <v>0</v>
      </c>
      <c r="I848" s="310"/>
      <c r="J848" s="309"/>
      <c r="K848" s="310"/>
      <c r="L848" s="311"/>
      <c r="M848" s="330"/>
    </row>
    <row r="849" s="263" customFormat="1" ht="22" customHeight="1" spans="1:13">
      <c r="A849" s="300" t="s">
        <v>1375</v>
      </c>
      <c r="B849" s="301" t="s">
        <v>1376</v>
      </c>
      <c r="C849" s="302"/>
      <c r="D849" s="303">
        <f t="shared" ref="D849:L849" si="643">D850</f>
        <v>8279</v>
      </c>
      <c r="E849" s="304">
        <f t="shared" si="643"/>
        <v>0</v>
      </c>
      <c r="F849" s="305">
        <f t="shared" si="643"/>
        <v>0</v>
      </c>
      <c r="G849" s="303">
        <f t="shared" si="643"/>
        <v>0</v>
      </c>
      <c r="H849" s="304">
        <f t="shared" si="643"/>
        <v>0</v>
      </c>
      <c r="I849" s="327">
        <f t="shared" si="643"/>
        <v>8279</v>
      </c>
      <c r="J849" s="303">
        <f t="shared" si="643"/>
        <v>0</v>
      </c>
      <c r="K849" s="304">
        <f t="shared" si="643"/>
        <v>0</v>
      </c>
      <c r="L849" s="305">
        <f t="shared" si="643"/>
        <v>8279</v>
      </c>
      <c r="M849" s="328" t="s">
        <v>291</v>
      </c>
    </row>
    <row r="850" s="263" customFormat="1" ht="28" customHeight="1" spans="1:13">
      <c r="A850" s="306" t="s">
        <v>298</v>
      </c>
      <c r="B850" s="307" t="s">
        <v>298</v>
      </c>
      <c r="C850" s="308" t="s">
        <v>562</v>
      </c>
      <c r="D850" s="309">
        <f t="shared" ref="D850:D854" si="644">E850+I850</f>
        <v>8279</v>
      </c>
      <c r="E850" s="310">
        <f t="shared" si="640"/>
        <v>0</v>
      </c>
      <c r="F850" s="311">
        <v>0</v>
      </c>
      <c r="G850" s="309">
        <v>0</v>
      </c>
      <c r="H850" s="310">
        <v>0</v>
      </c>
      <c r="I850" s="329">
        <f t="shared" si="641"/>
        <v>8279</v>
      </c>
      <c r="J850" s="309">
        <v>0</v>
      </c>
      <c r="K850" s="310">
        <v>0</v>
      </c>
      <c r="L850" s="311">
        <v>8279</v>
      </c>
      <c r="M850" s="330" t="s">
        <v>1377</v>
      </c>
    </row>
    <row r="851" s="263" customFormat="1" ht="22" customHeight="1" spans="1:13">
      <c r="A851" s="300" t="s">
        <v>1378</v>
      </c>
      <c r="B851" s="301" t="s">
        <v>1379</v>
      </c>
      <c r="C851" s="302"/>
      <c r="D851" s="303">
        <f t="shared" ref="D851:L851" si="645">D852</f>
        <v>214</v>
      </c>
      <c r="E851" s="304">
        <f t="shared" si="645"/>
        <v>0</v>
      </c>
      <c r="F851" s="305">
        <f t="shared" si="645"/>
        <v>0</v>
      </c>
      <c r="G851" s="303">
        <f t="shared" si="645"/>
        <v>0</v>
      </c>
      <c r="H851" s="304">
        <f t="shared" si="645"/>
        <v>0</v>
      </c>
      <c r="I851" s="327">
        <f t="shared" si="645"/>
        <v>214</v>
      </c>
      <c r="J851" s="303">
        <f t="shared" si="645"/>
        <v>0</v>
      </c>
      <c r="K851" s="304">
        <f t="shared" si="645"/>
        <v>0</v>
      </c>
      <c r="L851" s="305">
        <f t="shared" si="645"/>
        <v>214</v>
      </c>
      <c r="M851" s="328" t="s">
        <v>291</v>
      </c>
    </row>
    <row r="852" s="263" customFormat="1" ht="18.75" customHeight="1" spans="1:13">
      <c r="A852" s="306" t="s">
        <v>298</v>
      </c>
      <c r="B852" s="307" t="s">
        <v>298</v>
      </c>
      <c r="C852" s="308" t="s">
        <v>562</v>
      </c>
      <c r="D852" s="309">
        <f t="shared" si="644"/>
        <v>214</v>
      </c>
      <c r="E852" s="310">
        <f t="shared" ref="E852:E856" si="646">SUBTOTAL(9,F852:H852)</f>
        <v>0</v>
      </c>
      <c r="F852" s="311">
        <v>0</v>
      </c>
      <c r="G852" s="309">
        <v>0</v>
      </c>
      <c r="H852" s="310">
        <v>0</v>
      </c>
      <c r="I852" s="329">
        <f t="shared" ref="I852:I856" si="647">SUBTOTAL(9,J852:L852)</f>
        <v>214</v>
      </c>
      <c r="J852" s="309">
        <v>0</v>
      </c>
      <c r="K852" s="310">
        <v>0</v>
      </c>
      <c r="L852" s="311">
        <v>214</v>
      </c>
      <c r="M852" s="330" t="s">
        <v>1380</v>
      </c>
    </row>
    <row r="853" s="263" customFormat="1" ht="22" customHeight="1" spans="1:13">
      <c r="A853" s="300" t="s">
        <v>1381</v>
      </c>
      <c r="B853" s="301" t="s">
        <v>1382</v>
      </c>
      <c r="C853" s="302"/>
      <c r="D853" s="303">
        <f t="shared" ref="D853:L853" si="648">D854</f>
        <v>30</v>
      </c>
      <c r="E853" s="304">
        <f t="shared" si="648"/>
        <v>0</v>
      </c>
      <c r="F853" s="305">
        <f t="shared" si="648"/>
        <v>0</v>
      </c>
      <c r="G853" s="303">
        <f t="shared" si="648"/>
        <v>0</v>
      </c>
      <c r="H853" s="304">
        <f t="shared" si="648"/>
        <v>0</v>
      </c>
      <c r="I853" s="327">
        <f t="shared" si="648"/>
        <v>30</v>
      </c>
      <c r="J853" s="303">
        <f t="shared" si="648"/>
        <v>30</v>
      </c>
      <c r="K853" s="304">
        <f t="shared" si="648"/>
        <v>0</v>
      </c>
      <c r="L853" s="305">
        <f t="shared" si="648"/>
        <v>0</v>
      </c>
      <c r="M853" s="328" t="s">
        <v>291</v>
      </c>
    </row>
    <row r="854" s="263" customFormat="1" ht="24" customHeight="1" spans="1:13">
      <c r="A854" s="306" t="s">
        <v>298</v>
      </c>
      <c r="B854" s="307" t="s">
        <v>298</v>
      </c>
      <c r="C854" s="308" t="s">
        <v>562</v>
      </c>
      <c r="D854" s="309">
        <f t="shared" si="644"/>
        <v>30</v>
      </c>
      <c r="E854" s="310">
        <f t="shared" si="646"/>
        <v>0</v>
      </c>
      <c r="F854" s="311">
        <v>0</v>
      </c>
      <c r="G854" s="309">
        <v>0</v>
      </c>
      <c r="H854" s="310">
        <v>0</v>
      </c>
      <c r="I854" s="329">
        <f t="shared" si="647"/>
        <v>30</v>
      </c>
      <c r="J854" s="309">
        <v>30</v>
      </c>
      <c r="K854" s="310">
        <v>0</v>
      </c>
      <c r="L854" s="311">
        <v>0</v>
      </c>
      <c r="M854" s="330" t="s">
        <v>1383</v>
      </c>
    </row>
    <row r="855" s="263" customFormat="1" ht="22" customHeight="1" spans="1:13">
      <c r="A855" s="300" t="s">
        <v>1384</v>
      </c>
      <c r="B855" s="301" t="s">
        <v>1385</v>
      </c>
      <c r="C855" s="302"/>
      <c r="D855" s="303">
        <f t="shared" ref="D855:L855" si="649">D856</f>
        <v>1078</v>
      </c>
      <c r="E855" s="304">
        <f t="shared" si="649"/>
        <v>0</v>
      </c>
      <c r="F855" s="305">
        <f t="shared" si="649"/>
        <v>0</v>
      </c>
      <c r="G855" s="303">
        <f t="shared" si="649"/>
        <v>0</v>
      </c>
      <c r="H855" s="304">
        <f t="shared" si="649"/>
        <v>0</v>
      </c>
      <c r="I855" s="327">
        <f t="shared" si="649"/>
        <v>1078</v>
      </c>
      <c r="J855" s="303">
        <f t="shared" si="649"/>
        <v>10</v>
      </c>
      <c r="K855" s="304">
        <f t="shared" si="649"/>
        <v>0</v>
      </c>
      <c r="L855" s="305">
        <f t="shared" si="649"/>
        <v>1068</v>
      </c>
      <c r="M855" s="328" t="s">
        <v>291</v>
      </c>
    </row>
    <row r="856" s="263" customFormat="1" ht="34" customHeight="1" spans="1:13">
      <c r="A856" s="306" t="s">
        <v>298</v>
      </c>
      <c r="B856" s="307" t="s">
        <v>298</v>
      </c>
      <c r="C856" s="308" t="s">
        <v>562</v>
      </c>
      <c r="D856" s="309">
        <f t="shared" ref="D856:D860" si="650">E856+I856</f>
        <v>1078</v>
      </c>
      <c r="E856" s="310">
        <f t="shared" si="646"/>
        <v>0</v>
      </c>
      <c r="F856" s="311">
        <v>0</v>
      </c>
      <c r="G856" s="309">
        <v>0</v>
      </c>
      <c r="H856" s="310">
        <v>0</v>
      </c>
      <c r="I856" s="329">
        <f t="shared" si="647"/>
        <v>1078</v>
      </c>
      <c r="J856" s="309">
        <v>10</v>
      </c>
      <c r="K856" s="310">
        <v>0</v>
      </c>
      <c r="L856" s="311">
        <v>1068</v>
      </c>
      <c r="M856" s="330" t="s">
        <v>1386</v>
      </c>
    </row>
    <row r="857" s="263" customFormat="1" ht="22" customHeight="1" spans="1:13">
      <c r="A857" s="300" t="s">
        <v>1387</v>
      </c>
      <c r="B857" s="301" t="s">
        <v>1388</v>
      </c>
      <c r="C857" s="302"/>
      <c r="D857" s="303">
        <f t="shared" ref="D857:L857" si="651">D858</f>
        <v>915.76</v>
      </c>
      <c r="E857" s="304">
        <f t="shared" si="651"/>
        <v>0</v>
      </c>
      <c r="F857" s="305">
        <f t="shared" si="651"/>
        <v>0</v>
      </c>
      <c r="G857" s="303">
        <f t="shared" si="651"/>
        <v>0</v>
      </c>
      <c r="H857" s="304">
        <f t="shared" si="651"/>
        <v>0</v>
      </c>
      <c r="I857" s="327">
        <f t="shared" si="651"/>
        <v>915.76</v>
      </c>
      <c r="J857" s="303">
        <f t="shared" si="651"/>
        <v>76.76</v>
      </c>
      <c r="K857" s="304">
        <f t="shared" si="651"/>
        <v>0</v>
      </c>
      <c r="L857" s="305">
        <f t="shared" si="651"/>
        <v>839</v>
      </c>
      <c r="M857" s="328" t="s">
        <v>291</v>
      </c>
    </row>
    <row r="858" s="263" customFormat="1" ht="109" customHeight="1" spans="1:13">
      <c r="A858" s="306" t="s">
        <v>298</v>
      </c>
      <c r="B858" s="307" t="s">
        <v>298</v>
      </c>
      <c r="C858" s="308" t="s">
        <v>562</v>
      </c>
      <c r="D858" s="309">
        <f t="shared" si="650"/>
        <v>915.76</v>
      </c>
      <c r="E858" s="310">
        <f t="shared" ref="E858:E862" si="652">SUBTOTAL(9,F858:H858)</f>
        <v>0</v>
      </c>
      <c r="F858" s="311">
        <v>0</v>
      </c>
      <c r="G858" s="309">
        <v>0</v>
      </c>
      <c r="H858" s="310">
        <v>0</v>
      </c>
      <c r="I858" s="329">
        <f t="shared" ref="I858:I862" si="653">SUBTOTAL(9,J858:L858)</f>
        <v>915.76</v>
      </c>
      <c r="J858" s="309">
        <v>76.76</v>
      </c>
      <c r="K858" s="310">
        <v>0</v>
      </c>
      <c r="L858" s="311">
        <v>839</v>
      </c>
      <c r="M858" s="330" t="s">
        <v>1389</v>
      </c>
    </row>
    <row r="859" s="263" customFormat="1" ht="22" customHeight="1" spans="1:13">
      <c r="A859" s="300" t="s">
        <v>1390</v>
      </c>
      <c r="B859" s="301" t="s">
        <v>1391</v>
      </c>
      <c r="C859" s="302"/>
      <c r="D859" s="303">
        <f t="shared" ref="D859:L859" si="654">D860</f>
        <v>50</v>
      </c>
      <c r="E859" s="304">
        <f t="shared" si="654"/>
        <v>0</v>
      </c>
      <c r="F859" s="305">
        <f t="shared" si="654"/>
        <v>0</v>
      </c>
      <c r="G859" s="303">
        <f t="shared" si="654"/>
        <v>0</v>
      </c>
      <c r="H859" s="304">
        <f t="shared" si="654"/>
        <v>0</v>
      </c>
      <c r="I859" s="327">
        <f t="shared" si="654"/>
        <v>50</v>
      </c>
      <c r="J859" s="303">
        <f t="shared" si="654"/>
        <v>0</v>
      </c>
      <c r="K859" s="304">
        <f t="shared" si="654"/>
        <v>50</v>
      </c>
      <c r="L859" s="305">
        <f t="shared" si="654"/>
        <v>0</v>
      </c>
      <c r="M859" s="328" t="s">
        <v>291</v>
      </c>
    </row>
    <row r="860" s="263" customFormat="1" ht="18.75" customHeight="1" spans="1:13">
      <c r="A860" s="306" t="s">
        <v>298</v>
      </c>
      <c r="B860" s="307" t="s">
        <v>298</v>
      </c>
      <c r="C860" s="308"/>
      <c r="D860" s="309">
        <f t="shared" si="650"/>
        <v>50</v>
      </c>
      <c r="E860" s="310">
        <f t="shared" si="652"/>
        <v>0</v>
      </c>
      <c r="F860" s="311">
        <v>0</v>
      </c>
      <c r="G860" s="309">
        <v>0</v>
      </c>
      <c r="H860" s="310">
        <v>0</v>
      </c>
      <c r="I860" s="329">
        <f t="shared" si="653"/>
        <v>50</v>
      </c>
      <c r="J860" s="309">
        <v>0</v>
      </c>
      <c r="K860" s="310">
        <v>50</v>
      </c>
      <c r="L860" s="311">
        <v>0</v>
      </c>
      <c r="M860" s="330" t="s">
        <v>1392</v>
      </c>
    </row>
    <row r="861" s="263" customFormat="1" ht="22" customHeight="1" spans="1:13">
      <c r="A861" s="300" t="s">
        <v>1393</v>
      </c>
      <c r="B861" s="301" t="s">
        <v>1394</v>
      </c>
      <c r="C861" s="302"/>
      <c r="D861" s="303">
        <f t="shared" ref="D861:L861" si="655">D862</f>
        <v>1011</v>
      </c>
      <c r="E861" s="304">
        <f t="shared" si="655"/>
        <v>0</v>
      </c>
      <c r="F861" s="305">
        <f t="shared" si="655"/>
        <v>0</v>
      </c>
      <c r="G861" s="303">
        <f t="shared" si="655"/>
        <v>0</v>
      </c>
      <c r="H861" s="304">
        <f t="shared" si="655"/>
        <v>0</v>
      </c>
      <c r="I861" s="327">
        <f t="shared" si="655"/>
        <v>1011</v>
      </c>
      <c r="J861" s="303">
        <f t="shared" si="655"/>
        <v>0</v>
      </c>
      <c r="K861" s="304">
        <f t="shared" si="655"/>
        <v>0</v>
      </c>
      <c r="L861" s="305">
        <f t="shared" si="655"/>
        <v>1011</v>
      </c>
      <c r="M861" s="328" t="s">
        <v>291</v>
      </c>
    </row>
    <row r="862" s="263" customFormat="1" ht="41" customHeight="1" spans="1:13">
      <c r="A862" s="306" t="s">
        <v>298</v>
      </c>
      <c r="B862" s="307" t="s">
        <v>298</v>
      </c>
      <c r="C862" s="308" t="s">
        <v>569</v>
      </c>
      <c r="D862" s="309">
        <f t="shared" ref="D862:D866" si="656">E862+I862</f>
        <v>1011</v>
      </c>
      <c r="E862" s="310">
        <f t="shared" si="652"/>
        <v>0</v>
      </c>
      <c r="F862" s="311">
        <v>0</v>
      </c>
      <c r="G862" s="309">
        <v>0</v>
      </c>
      <c r="H862" s="310">
        <v>0</v>
      </c>
      <c r="I862" s="329">
        <f t="shared" si="653"/>
        <v>1011</v>
      </c>
      <c r="J862" s="309">
        <v>0</v>
      </c>
      <c r="K862" s="310">
        <v>0</v>
      </c>
      <c r="L862" s="311">
        <v>1011</v>
      </c>
      <c r="M862" s="330" t="s">
        <v>1395</v>
      </c>
    </row>
    <row r="863" s="263" customFormat="1" ht="22" customHeight="1" spans="1:13">
      <c r="A863" s="300" t="s">
        <v>1396</v>
      </c>
      <c r="B863" s="301" t="s">
        <v>1397</v>
      </c>
      <c r="C863" s="302"/>
      <c r="D863" s="303">
        <f t="shared" ref="D863:L863" si="657">D864</f>
        <v>1870</v>
      </c>
      <c r="E863" s="304">
        <f t="shared" si="657"/>
        <v>0</v>
      </c>
      <c r="F863" s="305">
        <f t="shared" si="657"/>
        <v>0</v>
      </c>
      <c r="G863" s="303">
        <f t="shared" si="657"/>
        <v>0</v>
      </c>
      <c r="H863" s="304">
        <f t="shared" si="657"/>
        <v>0</v>
      </c>
      <c r="I863" s="327">
        <f t="shared" si="657"/>
        <v>1870</v>
      </c>
      <c r="J863" s="303">
        <f t="shared" si="657"/>
        <v>0</v>
      </c>
      <c r="K863" s="304">
        <f t="shared" si="657"/>
        <v>0</v>
      </c>
      <c r="L863" s="305">
        <f t="shared" si="657"/>
        <v>1870</v>
      </c>
      <c r="M863" s="328" t="s">
        <v>291</v>
      </c>
    </row>
    <row r="864" s="263" customFormat="1" ht="25" customHeight="1" spans="1:13">
      <c r="A864" s="306" t="s">
        <v>298</v>
      </c>
      <c r="B864" s="307" t="s">
        <v>298</v>
      </c>
      <c r="C864" s="308" t="s">
        <v>562</v>
      </c>
      <c r="D864" s="309">
        <f t="shared" si="656"/>
        <v>1870</v>
      </c>
      <c r="E864" s="310">
        <f t="shared" ref="E864:E869" si="658">SUBTOTAL(9,F864:H864)</f>
        <v>0</v>
      </c>
      <c r="F864" s="311">
        <v>0</v>
      </c>
      <c r="G864" s="309">
        <v>0</v>
      </c>
      <c r="H864" s="310">
        <v>0</v>
      </c>
      <c r="I864" s="329">
        <f t="shared" ref="I864:I869" si="659">SUBTOTAL(9,J864:L864)</f>
        <v>1870</v>
      </c>
      <c r="J864" s="309">
        <v>0</v>
      </c>
      <c r="K864" s="310">
        <v>0</v>
      </c>
      <c r="L864" s="311">
        <v>1870</v>
      </c>
      <c r="M864" s="330" t="s">
        <v>1398</v>
      </c>
    </row>
    <row r="865" s="263" customFormat="1" ht="22" customHeight="1" spans="1:13">
      <c r="A865" s="300" t="s">
        <v>1399</v>
      </c>
      <c r="B865" s="301" t="s">
        <v>1400</v>
      </c>
      <c r="C865" s="302"/>
      <c r="D865" s="303">
        <f t="shared" ref="D865:L865" si="660">D866</f>
        <v>21.48</v>
      </c>
      <c r="E865" s="304">
        <f t="shared" si="660"/>
        <v>0</v>
      </c>
      <c r="F865" s="305">
        <f t="shared" si="660"/>
        <v>0</v>
      </c>
      <c r="G865" s="303">
        <f t="shared" si="660"/>
        <v>0</v>
      </c>
      <c r="H865" s="304">
        <f t="shared" si="660"/>
        <v>0</v>
      </c>
      <c r="I865" s="327">
        <f t="shared" si="660"/>
        <v>21.48</v>
      </c>
      <c r="J865" s="303">
        <f t="shared" si="660"/>
        <v>21.48</v>
      </c>
      <c r="K865" s="304">
        <f t="shared" si="660"/>
        <v>0</v>
      </c>
      <c r="L865" s="305">
        <f t="shared" si="660"/>
        <v>0</v>
      </c>
      <c r="M865" s="328" t="s">
        <v>291</v>
      </c>
    </row>
    <row r="866" s="263" customFormat="1" ht="27" customHeight="1" spans="1:13">
      <c r="A866" s="306" t="s">
        <v>298</v>
      </c>
      <c r="B866" s="307" t="s">
        <v>298</v>
      </c>
      <c r="C866" s="308" t="s">
        <v>562</v>
      </c>
      <c r="D866" s="309">
        <f t="shared" si="656"/>
        <v>21.48</v>
      </c>
      <c r="E866" s="310">
        <f t="shared" si="658"/>
        <v>0</v>
      </c>
      <c r="F866" s="311">
        <v>0</v>
      </c>
      <c r="G866" s="309">
        <v>0</v>
      </c>
      <c r="H866" s="310">
        <v>0</v>
      </c>
      <c r="I866" s="329">
        <f t="shared" si="659"/>
        <v>21.48</v>
      </c>
      <c r="J866" s="309">
        <v>21.48</v>
      </c>
      <c r="K866" s="310">
        <v>0</v>
      </c>
      <c r="L866" s="311">
        <v>0</v>
      </c>
      <c r="M866" s="330" t="s">
        <v>1401</v>
      </c>
    </row>
    <row r="867" s="263" customFormat="1" ht="18.75" customHeight="1" spans="1:13">
      <c r="A867" s="294" t="s">
        <v>1402</v>
      </c>
      <c r="B867" s="295" t="s">
        <v>1403</v>
      </c>
      <c r="C867" s="296"/>
      <c r="D867" s="297">
        <f t="shared" ref="D867:L867" si="661">D868+D870+D872+D874+D876</f>
        <v>38893.5855</v>
      </c>
      <c r="E867" s="298">
        <f t="shared" si="661"/>
        <v>275.2421</v>
      </c>
      <c r="F867" s="299">
        <f t="shared" si="661"/>
        <v>250.0227</v>
      </c>
      <c r="G867" s="297">
        <f t="shared" si="661"/>
        <v>16.8</v>
      </c>
      <c r="H867" s="298">
        <f t="shared" si="661"/>
        <v>8.4194</v>
      </c>
      <c r="I867" s="325">
        <f t="shared" si="661"/>
        <v>38618.3434</v>
      </c>
      <c r="J867" s="297">
        <f t="shared" si="661"/>
        <v>2189.3434</v>
      </c>
      <c r="K867" s="298">
        <f t="shared" si="661"/>
        <v>40</v>
      </c>
      <c r="L867" s="299">
        <f t="shared" si="661"/>
        <v>36389</v>
      </c>
      <c r="M867" s="326" t="s">
        <v>291</v>
      </c>
    </row>
    <row r="868" s="263" customFormat="1" ht="22" customHeight="1" spans="1:13">
      <c r="A868" s="300" t="s">
        <v>1404</v>
      </c>
      <c r="B868" s="301" t="s">
        <v>1405</v>
      </c>
      <c r="C868" s="302"/>
      <c r="D868" s="303">
        <f t="shared" ref="D868:L868" si="662">D869</f>
        <v>164.4244</v>
      </c>
      <c r="E868" s="304">
        <f t="shared" si="662"/>
        <v>139.2244</v>
      </c>
      <c r="F868" s="305">
        <f t="shared" si="662"/>
        <v>118.109</v>
      </c>
      <c r="G868" s="303">
        <f t="shared" si="662"/>
        <v>12.72</v>
      </c>
      <c r="H868" s="304">
        <f t="shared" si="662"/>
        <v>8.3954</v>
      </c>
      <c r="I868" s="327">
        <f t="shared" si="662"/>
        <v>25.2</v>
      </c>
      <c r="J868" s="303">
        <f t="shared" si="662"/>
        <v>25.2</v>
      </c>
      <c r="K868" s="304">
        <f t="shared" si="662"/>
        <v>0</v>
      </c>
      <c r="L868" s="305">
        <f t="shared" si="662"/>
        <v>0</v>
      </c>
      <c r="M868" s="328" t="s">
        <v>291</v>
      </c>
    </row>
    <row r="869" s="263" customFormat="1" ht="18.75" customHeight="1" spans="1:13">
      <c r="A869" s="306" t="s">
        <v>298</v>
      </c>
      <c r="B869" s="307" t="s">
        <v>298</v>
      </c>
      <c r="C869" s="308" t="s">
        <v>568</v>
      </c>
      <c r="D869" s="309">
        <f t="shared" ref="D869:D873" si="663">E869+I869</f>
        <v>164.4244</v>
      </c>
      <c r="E869" s="310">
        <f t="shared" si="658"/>
        <v>139.2244</v>
      </c>
      <c r="F869" s="311">
        <v>118.109</v>
      </c>
      <c r="G869" s="309">
        <v>12.72</v>
      </c>
      <c r="H869" s="310">
        <v>8.3954</v>
      </c>
      <c r="I869" s="329">
        <f t="shared" si="659"/>
        <v>25.2</v>
      </c>
      <c r="J869" s="309">
        <v>25.2</v>
      </c>
      <c r="K869" s="310">
        <v>0</v>
      </c>
      <c r="L869" s="311">
        <v>0</v>
      </c>
      <c r="M869" s="330" t="s">
        <v>1406</v>
      </c>
    </row>
    <row r="870" s="263" customFormat="1" ht="22" customHeight="1" spans="1:13">
      <c r="A870" s="300" t="s">
        <v>1407</v>
      </c>
      <c r="B870" s="301" t="s">
        <v>1408</v>
      </c>
      <c r="C870" s="302"/>
      <c r="D870" s="303">
        <f t="shared" ref="D870:L870" si="664">D871</f>
        <v>33937</v>
      </c>
      <c r="E870" s="304">
        <f t="shared" si="664"/>
        <v>0</v>
      </c>
      <c r="F870" s="305">
        <f t="shared" si="664"/>
        <v>0</v>
      </c>
      <c r="G870" s="303">
        <f t="shared" si="664"/>
        <v>0</v>
      </c>
      <c r="H870" s="304">
        <f t="shared" si="664"/>
        <v>0</v>
      </c>
      <c r="I870" s="327">
        <f t="shared" si="664"/>
        <v>33937</v>
      </c>
      <c r="J870" s="303">
        <f t="shared" si="664"/>
        <v>0</v>
      </c>
      <c r="K870" s="304">
        <f t="shared" si="664"/>
        <v>0</v>
      </c>
      <c r="L870" s="305">
        <f t="shared" si="664"/>
        <v>33937</v>
      </c>
      <c r="M870" s="328" t="s">
        <v>291</v>
      </c>
    </row>
    <row r="871" s="263" customFormat="1" ht="30" customHeight="1" spans="1:13">
      <c r="A871" s="306" t="s">
        <v>298</v>
      </c>
      <c r="B871" s="307" t="s">
        <v>298</v>
      </c>
      <c r="C871" s="308"/>
      <c r="D871" s="309">
        <f t="shared" si="663"/>
        <v>33937</v>
      </c>
      <c r="E871" s="310">
        <f t="shared" ref="E871:E875" si="665">SUBTOTAL(9,F871:H871)</f>
        <v>0</v>
      </c>
      <c r="F871" s="311">
        <v>0</v>
      </c>
      <c r="G871" s="309">
        <v>0</v>
      </c>
      <c r="H871" s="310">
        <v>0</v>
      </c>
      <c r="I871" s="329">
        <f t="shared" ref="I871:I875" si="666">SUBTOTAL(9,J871:L871)</f>
        <v>33937</v>
      </c>
      <c r="J871" s="309">
        <v>0</v>
      </c>
      <c r="K871" s="310">
        <v>0</v>
      </c>
      <c r="L871" s="311">
        <f>1260+32677</f>
        <v>33937</v>
      </c>
      <c r="M871" s="330" t="s">
        <v>1409</v>
      </c>
    </row>
    <row r="872" s="263" customFormat="1" ht="22" customHeight="1" spans="1:13">
      <c r="A872" s="300" t="s">
        <v>1410</v>
      </c>
      <c r="B872" s="301" t="s">
        <v>1411</v>
      </c>
      <c r="C872" s="302"/>
      <c r="D872" s="303">
        <f t="shared" ref="D872:L872" si="667">D873</f>
        <v>13</v>
      </c>
      <c r="E872" s="304">
        <f t="shared" si="667"/>
        <v>0</v>
      </c>
      <c r="F872" s="305">
        <f t="shared" si="667"/>
        <v>0</v>
      </c>
      <c r="G872" s="303">
        <f t="shared" si="667"/>
        <v>0</v>
      </c>
      <c r="H872" s="304">
        <f t="shared" si="667"/>
        <v>0</v>
      </c>
      <c r="I872" s="327">
        <f t="shared" si="667"/>
        <v>13</v>
      </c>
      <c r="J872" s="303">
        <f t="shared" si="667"/>
        <v>13</v>
      </c>
      <c r="K872" s="304">
        <f t="shared" si="667"/>
        <v>0</v>
      </c>
      <c r="L872" s="305">
        <f t="shared" si="667"/>
        <v>0</v>
      </c>
      <c r="M872" s="328" t="s">
        <v>291</v>
      </c>
    </row>
    <row r="873" s="263" customFormat="1" ht="31" customHeight="1" spans="1:13">
      <c r="A873" s="306" t="s">
        <v>298</v>
      </c>
      <c r="B873" s="307" t="s">
        <v>298</v>
      </c>
      <c r="C873" s="308" t="s">
        <v>561</v>
      </c>
      <c r="D873" s="309">
        <f t="shared" si="663"/>
        <v>13</v>
      </c>
      <c r="E873" s="310">
        <f t="shared" si="665"/>
        <v>0</v>
      </c>
      <c r="F873" s="311">
        <v>0</v>
      </c>
      <c r="G873" s="309">
        <v>0</v>
      </c>
      <c r="H873" s="310">
        <v>0</v>
      </c>
      <c r="I873" s="329">
        <f t="shared" si="666"/>
        <v>13</v>
      </c>
      <c r="J873" s="309">
        <v>13</v>
      </c>
      <c r="K873" s="310">
        <v>0</v>
      </c>
      <c r="L873" s="311">
        <v>0</v>
      </c>
      <c r="M873" s="330" t="s">
        <v>1412</v>
      </c>
    </row>
    <row r="874" s="263" customFormat="1" ht="22" customHeight="1" spans="1:13">
      <c r="A874" s="300" t="s">
        <v>1413</v>
      </c>
      <c r="B874" s="301" t="s">
        <v>1414</v>
      </c>
      <c r="C874" s="302"/>
      <c r="D874" s="303">
        <f t="shared" ref="D874:L874" si="668">D875</f>
        <v>136.0177</v>
      </c>
      <c r="E874" s="304">
        <f t="shared" si="668"/>
        <v>136.0177</v>
      </c>
      <c r="F874" s="305">
        <f t="shared" si="668"/>
        <v>131.9137</v>
      </c>
      <c r="G874" s="303">
        <f t="shared" si="668"/>
        <v>4.08</v>
      </c>
      <c r="H874" s="304">
        <f t="shared" si="668"/>
        <v>0.024</v>
      </c>
      <c r="I874" s="327">
        <f t="shared" si="668"/>
        <v>0</v>
      </c>
      <c r="J874" s="303">
        <f t="shared" si="668"/>
        <v>0</v>
      </c>
      <c r="K874" s="304">
        <f t="shared" si="668"/>
        <v>0</v>
      </c>
      <c r="L874" s="305">
        <f t="shared" si="668"/>
        <v>0</v>
      </c>
      <c r="M874" s="328" t="s">
        <v>291</v>
      </c>
    </row>
    <row r="875" s="263" customFormat="1" ht="18.75" customHeight="1" spans="1:13">
      <c r="A875" s="306" t="s">
        <v>298</v>
      </c>
      <c r="B875" s="307" t="s">
        <v>298</v>
      </c>
      <c r="C875" s="308" t="s">
        <v>568</v>
      </c>
      <c r="D875" s="309">
        <f t="shared" ref="D875:D881" si="669">E875+I875</f>
        <v>136.0177</v>
      </c>
      <c r="E875" s="310">
        <f t="shared" si="665"/>
        <v>136.0177</v>
      </c>
      <c r="F875" s="311">
        <v>131.9137</v>
      </c>
      <c r="G875" s="309">
        <v>4.08</v>
      </c>
      <c r="H875" s="310">
        <v>0.024</v>
      </c>
      <c r="I875" s="329">
        <f t="shared" si="666"/>
        <v>0</v>
      </c>
      <c r="J875" s="309">
        <v>0</v>
      </c>
      <c r="K875" s="310">
        <v>0</v>
      </c>
      <c r="L875" s="311">
        <v>0</v>
      </c>
      <c r="M875" s="330" t="s">
        <v>291</v>
      </c>
    </row>
    <row r="876" s="263" customFormat="1" ht="22" customHeight="1" spans="1:13">
      <c r="A876" s="300" t="s">
        <v>1415</v>
      </c>
      <c r="B876" s="301" t="s">
        <v>1416</v>
      </c>
      <c r="C876" s="302"/>
      <c r="D876" s="303">
        <f t="shared" ref="D876:L876" si="670">SUM(D877:D881)</f>
        <v>4643.1434</v>
      </c>
      <c r="E876" s="304">
        <f t="shared" si="670"/>
        <v>0</v>
      </c>
      <c r="F876" s="305">
        <f t="shared" si="670"/>
        <v>0</v>
      </c>
      <c r="G876" s="303">
        <f t="shared" si="670"/>
        <v>0</v>
      </c>
      <c r="H876" s="304">
        <f t="shared" si="670"/>
        <v>0</v>
      </c>
      <c r="I876" s="327">
        <f t="shared" si="670"/>
        <v>4643.1434</v>
      </c>
      <c r="J876" s="303">
        <f t="shared" si="670"/>
        <v>2151.1434</v>
      </c>
      <c r="K876" s="304">
        <f t="shared" si="670"/>
        <v>40</v>
      </c>
      <c r="L876" s="305">
        <f t="shared" si="670"/>
        <v>2452</v>
      </c>
      <c r="M876" s="328" t="s">
        <v>291</v>
      </c>
    </row>
    <row r="877" s="263" customFormat="1" ht="18.75" customHeight="1" spans="1:13">
      <c r="A877" s="306" t="s">
        <v>298</v>
      </c>
      <c r="B877" s="307" t="s">
        <v>298</v>
      </c>
      <c r="C877" s="308" t="s">
        <v>479</v>
      </c>
      <c r="D877" s="309">
        <f t="shared" si="669"/>
        <v>2052</v>
      </c>
      <c r="E877" s="310">
        <f t="shared" ref="E877:E881" si="671">SUBTOTAL(9,F877:H877)</f>
        <v>0</v>
      </c>
      <c r="F877" s="311">
        <v>0</v>
      </c>
      <c r="G877" s="309">
        <v>0</v>
      </c>
      <c r="H877" s="310">
        <v>0</v>
      </c>
      <c r="I877" s="329">
        <f t="shared" ref="I877:I881" si="672">SUBTOTAL(9,J877:L877)</f>
        <v>2052</v>
      </c>
      <c r="J877" s="309">
        <v>0</v>
      </c>
      <c r="K877" s="310">
        <v>0</v>
      </c>
      <c r="L877" s="311">
        <v>2052</v>
      </c>
      <c r="M877" s="330" t="s">
        <v>1417</v>
      </c>
    </row>
    <row r="878" s="263" customFormat="1" ht="18.75" customHeight="1" spans="1:13">
      <c r="A878" s="306" t="s">
        <v>298</v>
      </c>
      <c r="B878" s="307" t="s">
        <v>298</v>
      </c>
      <c r="C878" s="308" t="s">
        <v>387</v>
      </c>
      <c r="D878" s="309">
        <f t="shared" si="669"/>
        <v>400</v>
      </c>
      <c r="E878" s="310">
        <f t="shared" si="671"/>
        <v>0</v>
      </c>
      <c r="F878" s="311">
        <v>0</v>
      </c>
      <c r="G878" s="309">
        <v>0</v>
      </c>
      <c r="H878" s="310">
        <v>0</v>
      </c>
      <c r="I878" s="329">
        <f t="shared" si="672"/>
        <v>400</v>
      </c>
      <c r="J878" s="309">
        <v>0</v>
      </c>
      <c r="K878" s="310">
        <v>0</v>
      </c>
      <c r="L878" s="311">
        <v>400</v>
      </c>
      <c r="M878" s="330" t="s">
        <v>1418</v>
      </c>
    </row>
    <row r="879" s="263" customFormat="1" ht="24" customHeight="1" spans="1:13">
      <c r="A879" s="306" t="s">
        <v>298</v>
      </c>
      <c r="B879" s="307" t="s">
        <v>298</v>
      </c>
      <c r="C879" s="308" t="s">
        <v>559</v>
      </c>
      <c r="D879" s="309">
        <f t="shared" si="669"/>
        <v>1043.1434</v>
      </c>
      <c r="E879" s="310">
        <f t="shared" si="671"/>
        <v>0</v>
      </c>
      <c r="F879" s="311">
        <v>0</v>
      </c>
      <c r="G879" s="309">
        <v>0</v>
      </c>
      <c r="H879" s="310">
        <v>0</v>
      </c>
      <c r="I879" s="329">
        <f t="shared" si="672"/>
        <v>1043.1434</v>
      </c>
      <c r="J879" s="309">
        <v>1043.1434</v>
      </c>
      <c r="K879" s="310">
        <v>0</v>
      </c>
      <c r="L879" s="311">
        <v>0</v>
      </c>
      <c r="M879" s="330" t="s">
        <v>1419</v>
      </c>
    </row>
    <row r="880" s="263" customFormat="1" ht="63" customHeight="1" spans="1:13">
      <c r="A880" s="306" t="s">
        <v>298</v>
      </c>
      <c r="B880" s="307" t="s">
        <v>298</v>
      </c>
      <c r="C880" s="308" t="s">
        <v>568</v>
      </c>
      <c r="D880" s="309">
        <f t="shared" si="669"/>
        <v>108</v>
      </c>
      <c r="E880" s="310">
        <f t="shared" si="671"/>
        <v>0</v>
      </c>
      <c r="F880" s="311">
        <v>0</v>
      </c>
      <c r="G880" s="309">
        <v>0</v>
      </c>
      <c r="H880" s="310">
        <v>0</v>
      </c>
      <c r="I880" s="329">
        <f t="shared" si="672"/>
        <v>108</v>
      </c>
      <c r="J880" s="309">
        <v>108</v>
      </c>
      <c r="K880" s="310">
        <v>0</v>
      </c>
      <c r="L880" s="311"/>
      <c r="M880" s="330" t="s">
        <v>1420</v>
      </c>
    </row>
    <row r="881" s="263" customFormat="1" ht="27" customHeight="1" spans="1:13">
      <c r="A881" s="306" t="s">
        <v>298</v>
      </c>
      <c r="B881" s="307" t="s">
        <v>298</v>
      </c>
      <c r="C881" s="308"/>
      <c r="D881" s="309">
        <f t="shared" si="669"/>
        <v>1040</v>
      </c>
      <c r="E881" s="310">
        <f t="shared" si="671"/>
        <v>0</v>
      </c>
      <c r="F881" s="311">
        <v>0</v>
      </c>
      <c r="G881" s="309">
        <v>0</v>
      </c>
      <c r="H881" s="310">
        <v>0</v>
      </c>
      <c r="I881" s="329">
        <f t="shared" si="672"/>
        <v>1040</v>
      </c>
      <c r="J881" s="309">
        <v>1000</v>
      </c>
      <c r="K881" s="310">
        <v>40</v>
      </c>
      <c r="L881" s="311">
        <v>0</v>
      </c>
      <c r="M881" s="330" t="s">
        <v>1421</v>
      </c>
    </row>
    <row r="882" s="263" customFormat="1" ht="18.75" customHeight="1" spans="1:13">
      <c r="A882" s="294" t="s">
        <v>1422</v>
      </c>
      <c r="B882" s="295" t="s">
        <v>1423</v>
      </c>
      <c r="C882" s="296"/>
      <c r="D882" s="297">
        <f t="shared" ref="D882:L882" si="673">D883+D885</f>
        <v>6005.262</v>
      </c>
      <c r="E882" s="298">
        <f t="shared" si="673"/>
        <v>3937.262</v>
      </c>
      <c r="F882" s="299">
        <f t="shared" si="673"/>
        <v>3468.262</v>
      </c>
      <c r="G882" s="297">
        <f t="shared" si="673"/>
        <v>469</v>
      </c>
      <c r="H882" s="298">
        <f t="shared" si="673"/>
        <v>0</v>
      </c>
      <c r="I882" s="325">
        <f t="shared" si="673"/>
        <v>2068</v>
      </c>
      <c r="J882" s="297">
        <f t="shared" si="673"/>
        <v>768</v>
      </c>
      <c r="K882" s="298">
        <f t="shared" si="673"/>
        <v>0</v>
      </c>
      <c r="L882" s="299">
        <f t="shared" si="673"/>
        <v>1300</v>
      </c>
      <c r="M882" s="326" t="s">
        <v>291</v>
      </c>
    </row>
    <row r="883" s="263" customFormat="1" ht="22" customHeight="1" spans="1:13">
      <c r="A883" s="300" t="s">
        <v>1424</v>
      </c>
      <c r="B883" s="301" t="s">
        <v>1425</v>
      </c>
      <c r="C883" s="302"/>
      <c r="D883" s="303">
        <f t="shared" ref="D883:L883" si="674">D884</f>
        <v>2068</v>
      </c>
      <c r="E883" s="304">
        <f t="shared" si="674"/>
        <v>0</v>
      </c>
      <c r="F883" s="305">
        <f t="shared" si="674"/>
        <v>0</v>
      </c>
      <c r="G883" s="303">
        <f t="shared" si="674"/>
        <v>0</v>
      </c>
      <c r="H883" s="304">
        <f t="shared" si="674"/>
        <v>0</v>
      </c>
      <c r="I883" s="327">
        <f t="shared" si="674"/>
        <v>2068</v>
      </c>
      <c r="J883" s="303">
        <f t="shared" si="674"/>
        <v>768</v>
      </c>
      <c r="K883" s="304">
        <f t="shared" si="674"/>
        <v>0</v>
      </c>
      <c r="L883" s="305">
        <f t="shared" si="674"/>
        <v>1300</v>
      </c>
      <c r="M883" s="328" t="s">
        <v>291</v>
      </c>
    </row>
    <row r="884" s="263" customFormat="1" ht="37" customHeight="1" spans="1:13">
      <c r="A884" s="306" t="s">
        <v>298</v>
      </c>
      <c r="B884" s="307" t="s">
        <v>298</v>
      </c>
      <c r="C884" s="308"/>
      <c r="D884" s="309">
        <f t="shared" ref="D884:D888" si="675">E884+I884</f>
        <v>2068</v>
      </c>
      <c r="E884" s="310">
        <f t="shared" ref="E884:E888" si="676">SUBTOTAL(9,F884:H884)</f>
        <v>0</v>
      </c>
      <c r="F884" s="311">
        <v>0</v>
      </c>
      <c r="G884" s="309">
        <v>0</v>
      </c>
      <c r="H884" s="310">
        <v>0</v>
      </c>
      <c r="I884" s="329">
        <f t="shared" ref="I884:I888" si="677">SUBTOTAL(9,J884:L884)</f>
        <v>2068</v>
      </c>
      <c r="J884" s="309">
        <v>768</v>
      </c>
      <c r="K884" s="310">
        <v>0</v>
      </c>
      <c r="L884" s="311">
        <v>1300</v>
      </c>
      <c r="M884" s="330" t="s">
        <v>1426</v>
      </c>
    </row>
    <row r="885" s="263" customFormat="1" ht="22" customHeight="1" spans="1:13">
      <c r="A885" s="300" t="s">
        <v>1427</v>
      </c>
      <c r="B885" s="301" t="s">
        <v>1428</v>
      </c>
      <c r="C885" s="302"/>
      <c r="D885" s="303">
        <f t="shared" ref="D885:L885" si="678">SUM(D886:D888)</f>
        <v>3937.262</v>
      </c>
      <c r="E885" s="304">
        <f t="shared" si="678"/>
        <v>3937.262</v>
      </c>
      <c r="F885" s="305">
        <f t="shared" si="678"/>
        <v>3468.262</v>
      </c>
      <c r="G885" s="303">
        <f t="shared" si="678"/>
        <v>469</v>
      </c>
      <c r="H885" s="304">
        <f t="shared" si="678"/>
        <v>0</v>
      </c>
      <c r="I885" s="327">
        <f t="shared" si="678"/>
        <v>0</v>
      </c>
      <c r="J885" s="303">
        <f t="shared" si="678"/>
        <v>0</v>
      </c>
      <c r="K885" s="304">
        <f t="shared" si="678"/>
        <v>0</v>
      </c>
      <c r="L885" s="305">
        <f t="shared" si="678"/>
        <v>0</v>
      </c>
      <c r="M885" s="328" t="s">
        <v>291</v>
      </c>
    </row>
    <row r="886" s="263" customFormat="1" ht="18.75" customHeight="1" spans="1:13">
      <c r="A886" s="306" t="s">
        <v>298</v>
      </c>
      <c r="B886" s="307" t="s">
        <v>298</v>
      </c>
      <c r="C886" s="308" t="s">
        <v>572</v>
      </c>
      <c r="D886" s="309">
        <f t="shared" si="675"/>
        <v>51.464</v>
      </c>
      <c r="E886" s="310">
        <f t="shared" si="676"/>
        <v>51.464</v>
      </c>
      <c r="F886" s="311">
        <v>43.464</v>
      </c>
      <c r="G886" s="309">
        <v>8</v>
      </c>
      <c r="H886" s="310">
        <v>0</v>
      </c>
      <c r="I886" s="329">
        <f t="shared" si="677"/>
        <v>0</v>
      </c>
      <c r="J886" s="309">
        <v>0</v>
      </c>
      <c r="K886" s="310">
        <v>0</v>
      </c>
      <c r="L886" s="311">
        <v>0</v>
      </c>
      <c r="M886" s="330" t="s">
        <v>291</v>
      </c>
    </row>
    <row r="887" s="263" customFormat="1" ht="18.75" customHeight="1" spans="1:13">
      <c r="A887" s="306"/>
      <c r="B887" s="307"/>
      <c r="C887" s="308" t="s">
        <v>301</v>
      </c>
      <c r="D887" s="309">
        <f t="shared" si="675"/>
        <v>3635.798</v>
      </c>
      <c r="E887" s="310">
        <f>SUM(F887:H887)</f>
        <v>3635.798</v>
      </c>
      <c r="F887" s="311">
        <v>3174.798</v>
      </c>
      <c r="G887" s="310">
        <v>461</v>
      </c>
      <c r="H887" s="310"/>
      <c r="I887" s="329"/>
      <c r="J887" s="309"/>
      <c r="K887" s="310"/>
      <c r="L887" s="311"/>
      <c r="M887" s="330"/>
    </row>
    <row r="888" s="263" customFormat="1" ht="18.75" customHeight="1" spans="1:13">
      <c r="A888" s="306" t="s">
        <v>298</v>
      </c>
      <c r="B888" s="307" t="s">
        <v>298</v>
      </c>
      <c r="C888" s="308"/>
      <c r="D888" s="309">
        <f t="shared" si="675"/>
        <v>250</v>
      </c>
      <c r="E888" s="310">
        <f t="shared" si="676"/>
        <v>250</v>
      </c>
      <c r="F888" s="311">
        <v>250</v>
      </c>
      <c r="G888" s="309">
        <v>0</v>
      </c>
      <c r="H888" s="310">
        <v>0</v>
      </c>
      <c r="I888" s="329">
        <f t="shared" si="677"/>
        <v>0</v>
      </c>
      <c r="J888" s="309">
        <v>0</v>
      </c>
      <c r="K888" s="310">
        <v>0</v>
      </c>
      <c r="L888" s="311">
        <v>0</v>
      </c>
      <c r="M888" s="330" t="s">
        <v>291</v>
      </c>
    </row>
    <row r="889" s="263" customFormat="1" ht="18.75" customHeight="1" spans="1:13">
      <c r="A889" s="294" t="s">
        <v>1429</v>
      </c>
      <c r="B889" s="295" t="s">
        <v>1430</v>
      </c>
      <c r="C889" s="296"/>
      <c r="D889" s="297">
        <f t="shared" ref="D889:L889" si="679">D890+D892+D894</f>
        <v>2417.6267</v>
      </c>
      <c r="E889" s="298">
        <f t="shared" si="679"/>
        <v>0</v>
      </c>
      <c r="F889" s="299">
        <f t="shared" si="679"/>
        <v>0</v>
      </c>
      <c r="G889" s="297">
        <f t="shared" si="679"/>
        <v>0</v>
      </c>
      <c r="H889" s="298">
        <f t="shared" si="679"/>
        <v>0</v>
      </c>
      <c r="I889" s="325">
        <f t="shared" si="679"/>
        <v>2417.6267</v>
      </c>
      <c r="J889" s="297">
        <f t="shared" si="679"/>
        <v>100</v>
      </c>
      <c r="K889" s="298">
        <f t="shared" si="679"/>
        <v>167.6267</v>
      </c>
      <c r="L889" s="299">
        <f t="shared" si="679"/>
        <v>2150</v>
      </c>
      <c r="M889" s="326" t="s">
        <v>291</v>
      </c>
    </row>
    <row r="890" s="263" customFormat="1" ht="22" customHeight="1" spans="1:13">
      <c r="A890" s="300" t="s">
        <v>1431</v>
      </c>
      <c r="B890" s="301" t="s">
        <v>1432</v>
      </c>
      <c r="C890" s="302"/>
      <c r="D890" s="303">
        <f t="shared" ref="D890:L890" si="680">D891</f>
        <v>9.53</v>
      </c>
      <c r="E890" s="304">
        <f t="shared" si="680"/>
        <v>0</v>
      </c>
      <c r="F890" s="305">
        <f t="shared" si="680"/>
        <v>0</v>
      </c>
      <c r="G890" s="303">
        <f t="shared" si="680"/>
        <v>0</v>
      </c>
      <c r="H890" s="304">
        <f t="shared" si="680"/>
        <v>0</v>
      </c>
      <c r="I890" s="327">
        <f t="shared" si="680"/>
        <v>9.53</v>
      </c>
      <c r="J890" s="303">
        <f t="shared" si="680"/>
        <v>0</v>
      </c>
      <c r="K890" s="304">
        <f t="shared" si="680"/>
        <v>9.53</v>
      </c>
      <c r="L890" s="305">
        <f t="shared" si="680"/>
        <v>0</v>
      </c>
      <c r="M890" s="328" t="s">
        <v>291</v>
      </c>
    </row>
    <row r="891" s="263" customFormat="1" ht="18.75" customHeight="1" spans="1:13">
      <c r="A891" s="306" t="s">
        <v>298</v>
      </c>
      <c r="B891" s="307" t="s">
        <v>298</v>
      </c>
      <c r="C891" s="308"/>
      <c r="D891" s="309">
        <f t="shared" ref="D891:D895" si="681">E891+I891</f>
        <v>9.53</v>
      </c>
      <c r="E891" s="310">
        <f t="shared" ref="E891:E895" si="682">SUBTOTAL(9,F891:H891)</f>
        <v>0</v>
      </c>
      <c r="F891" s="311">
        <v>0</v>
      </c>
      <c r="G891" s="309">
        <v>0</v>
      </c>
      <c r="H891" s="310">
        <v>0</v>
      </c>
      <c r="I891" s="329">
        <f t="shared" ref="I891:I895" si="683">SUBTOTAL(9,J891:L891)</f>
        <v>9.53</v>
      </c>
      <c r="J891" s="309">
        <v>0</v>
      </c>
      <c r="K891" s="310">
        <v>9.53</v>
      </c>
      <c r="L891" s="311">
        <v>0</v>
      </c>
      <c r="M891" s="330" t="s">
        <v>1433</v>
      </c>
    </row>
    <row r="892" s="263" customFormat="1" ht="22" customHeight="1" spans="1:13">
      <c r="A892" s="300" t="s">
        <v>1434</v>
      </c>
      <c r="B892" s="301" t="s">
        <v>1435</v>
      </c>
      <c r="C892" s="302"/>
      <c r="D892" s="303">
        <f t="shared" ref="D892:L892" si="684">D893</f>
        <v>2188.5804</v>
      </c>
      <c r="E892" s="304">
        <f t="shared" si="684"/>
        <v>0</v>
      </c>
      <c r="F892" s="305">
        <f t="shared" si="684"/>
        <v>0</v>
      </c>
      <c r="G892" s="303">
        <f t="shared" si="684"/>
        <v>0</v>
      </c>
      <c r="H892" s="304">
        <f t="shared" si="684"/>
        <v>0</v>
      </c>
      <c r="I892" s="327">
        <f t="shared" si="684"/>
        <v>2188.5804</v>
      </c>
      <c r="J892" s="303">
        <f t="shared" si="684"/>
        <v>100</v>
      </c>
      <c r="K892" s="304">
        <f t="shared" si="684"/>
        <v>88.5804</v>
      </c>
      <c r="L892" s="305">
        <f t="shared" si="684"/>
        <v>2000</v>
      </c>
      <c r="M892" s="328" t="s">
        <v>291</v>
      </c>
    </row>
    <row r="893" s="263" customFormat="1" ht="47" customHeight="1" spans="1:13">
      <c r="A893" s="306" t="s">
        <v>298</v>
      </c>
      <c r="B893" s="307" t="s">
        <v>298</v>
      </c>
      <c r="C893" s="308"/>
      <c r="D893" s="309">
        <f t="shared" si="681"/>
        <v>2188.5804</v>
      </c>
      <c r="E893" s="310">
        <f t="shared" si="682"/>
        <v>0</v>
      </c>
      <c r="F893" s="311">
        <v>0</v>
      </c>
      <c r="G893" s="309">
        <v>0</v>
      </c>
      <c r="H893" s="310">
        <v>0</v>
      </c>
      <c r="I893" s="329">
        <f t="shared" si="683"/>
        <v>2188.5804</v>
      </c>
      <c r="J893" s="309">
        <v>100</v>
      </c>
      <c r="K893" s="310">
        <v>88.5804</v>
      </c>
      <c r="L893" s="311">
        <v>2000</v>
      </c>
      <c r="M893" s="330" t="s">
        <v>1436</v>
      </c>
    </row>
    <row r="894" s="263" customFormat="1" ht="22" customHeight="1" spans="1:13">
      <c r="A894" s="300" t="s">
        <v>1437</v>
      </c>
      <c r="B894" s="301" t="s">
        <v>1438</v>
      </c>
      <c r="C894" s="302"/>
      <c r="D894" s="303">
        <f t="shared" ref="D894:L894" si="685">D895</f>
        <v>219.5163</v>
      </c>
      <c r="E894" s="304">
        <f t="shared" si="685"/>
        <v>0</v>
      </c>
      <c r="F894" s="305">
        <f t="shared" si="685"/>
        <v>0</v>
      </c>
      <c r="G894" s="303">
        <f t="shared" si="685"/>
        <v>0</v>
      </c>
      <c r="H894" s="304">
        <f t="shared" si="685"/>
        <v>0</v>
      </c>
      <c r="I894" s="327">
        <f t="shared" si="685"/>
        <v>219.5163</v>
      </c>
      <c r="J894" s="303">
        <f t="shared" si="685"/>
        <v>0</v>
      </c>
      <c r="K894" s="304">
        <f t="shared" si="685"/>
        <v>69.5163</v>
      </c>
      <c r="L894" s="305">
        <f t="shared" si="685"/>
        <v>150</v>
      </c>
      <c r="M894" s="328" t="s">
        <v>291</v>
      </c>
    </row>
    <row r="895" s="263" customFormat="1" ht="46" customHeight="1" spans="1:13">
      <c r="A895" s="306" t="s">
        <v>298</v>
      </c>
      <c r="B895" s="307" t="s">
        <v>298</v>
      </c>
      <c r="C895" s="308"/>
      <c r="D895" s="309">
        <f t="shared" si="681"/>
        <v>219.5163</v>
      </c>
      <c r="E895" s="310">
        <f t="shared" si="682"/>
        <v>0</v>
      </c>
      <c r="F895" s="311">
        <v>0</v>
      </c>
      <c r="G895" s="309">
        <v>0</v>
      </c>
      <c r="H895" s="310">
        <v>0</v>
      </c>
      <c r="I895" s="329">
        <f t="shared" si="683"/>
        <v>219.5163</v>
      </c>
      <c r="J895" s="309">
        <v>0</v>
      </c>
      <c r="K895" s="310">
        <v>69.5163</v>
      </c>
      <c r="L895" s="311">
        <v>150</v>
      </c>
      <c r="M895" s="330" t="s">
        <v>1439</v>
      </c>
    </row>
    <row r="896" s="263" customFormat="1" ht="24" customHeight="1" spans="1:13">
      <c r="A896" s="294" t="s">
        <v>1440</v>
      </c>
      <c r="B896" s="295" t="s">
        <v>1441</v>
      </c>
      <c r="C896" s="296"/>
      <c r="D896" s="297">
        <f t="shared" ref="D896:L896" si="686">D897</f>
        <v>45</v>
      </c>
      <c r="E896" s="298">
        <f t="shared" si="686"/>
        <v>0</v>
      </c>
      <c r="F896" s="299">
        <f t="shared" si="686"/>
        <v>0</v>
      </c>
      <c r="G896" s="297">
        <f t="shared" si="686"/>
        <v>0</v>
      </c>
      <c r="H896" s="298">
        <f t="shared" si="686"/>
        <v>0</v>
      </c>
      <c r="I896" s="325">
        <f t="shared" si="686"/>
        <v>45</v>
      </c>
      <c r="J896" s="297">
        <f t="shared" si="686"/>
        <v>0</v>
      </c>
      <c r="K896" s="298">
        <f t="shared" si="686"/>
        <v>45</v>
      </c>
      <c r="L896" s="299">
        <f t="shared" si="686"/>
        <v>0</v>
      </c>
      <c r="M896" s="326" t="s">
        <v>291</v>
      </c>
    </row>
    <row r="897" s="263" customFormat="1" ht="22" customHeight="1" spans="1:13">
      <c r="A897" s="300" t="s">
        <v>1442</v>
      </c>
      <c r="B897" s="301" t="s">
        <v>1443</v>
      </c>
      <c r="C897" s="302"/>
      <c r="D897" s="303">
        <f t="shared" ref="D897:L897" si="687">D898</f>
        <v>45</v>
      </c>
      <c r="E897" s="304">
        <f t="shared" si="687"/>
        <v>0</v>
      </c>
      <c r="F897" s="305">
        <f t="shared" si="687"/>
        <v>0</v>
      </c>
      <c r="G897" s="303">
        <f t="shared" si="687"/>
        <v>0</v>
      </c>
      <c r="H897" s="304">
        <f t="shared" si="687"/>
        <v>0</v>
      </c>
      <c r="I897" s="327">
        <f t="shared" si="687"/>
        <v>45</v>
      </c>
      <c r="J897" s="303">
        <f t="shared" si="687"/>
        <v>0</v>
      </c>
      <c r="K897" s="304">
        <f t="shared" si="687"/>
        <v>45</v>
      </c>
      <c r="L897" s="305">
        <f t="shared" si="687"/>
        <v>0</v>
      </c>
      <c r="M897" s="328" t="s">
        <v>291</v>
      </c>
    </row>
    <row r="898" s="263" customFormat="1" ht="18.75" customHeight="1" spans="1:13">
      <c r="A898" s="306" t="s">
        <v>298</v>
      </c>
      <c r="B898" s="307" t="s">
        <v>298</v>
      </c>
      <c r="C898" s="308"/>
      <c r="D898" s="309">
        <f t="shared" ref="D898:D903" si="688">E898+I898</f>
        <v>45</v>
      </c>
      <c r="E898" s="310">
        <f t="shared" ref="E898:E903" si="689">SUBTOTAL(9,F898:H898)</f>
        <v>0</v>
      </c>
      <c r="F898" s="311">
        <v>0</v>
      </c>
      <c r="G898" s="309">
        <v>0</v>
      </c>
      <c r="H898" s="310">
        <v>0</v>
      </c>
      <c r="I898" s="329">
        <f t="shared" ref="I898:I903" si="690">SUBTOTAL(9,J898:L898)</f>
        <v>45</v>
      </c>
      <c r="J898" s="309">
        <v>0</v>
      </c>
      <c r="K898" s="310">
        <v>45</v>
      </c>
      <c r="L898" s="311">
        <v>0</v>
      </c>
      <c r="M898" s="330" t="s">
        <v>1444</v>
      </c>
    </row>
    <row r="899" s="263" customFormat="1" ht="18.75" customHeight="1" spans="1:13">
      <c r="A899" s="294" t="s">
        <v>1445</v>
      </c>
      <c r="B899" s="295" t="s">
        <v>1446</v>
      </c>
      <c r="C899" s="296"/>
      <c r="D899" s="297">
        <f t="shared" ref="D899:L899" si="691">D900</f>
        <v>10381.2742</v>
      </c>
      <c r="E899" s="298">
        <f t="shared" si="691"/>
        <v>210.8696</v>
      </c>
      <c r="F899" s="299">
        <f t="shared" si="691"/>
        <v>198.0356</v>
      </c>
      <c r="G899" s="297">
        <f t="shared" si="691"/>
        <v>12.834</v>
      </c>
      <c r="H899" s="298">
        <f t="shared" si="691"/>
        <v>0</v>
      </c>
      <c r="I899" s="325">
        <f t="shared" si="691"/>
        <v>10170.4046</v>
      </c>
      <c r="J899" s="297">
        <f t="shared" si="691"/>
        <v>300.4046</v>
      </c>
      <c r="K899" s="298">
        <f t="shared" si="691"/>
        <v>0</v>
      </c>
      <c r="L899" s="299">
        <f t="shared" si="691"/>
        <v>9870</v>
      </c>
      <c r="M899" s="326" t="s">
        <v>291</v>
      </c>
    </row>
    <row r="900" s="263" customFormat="1" ht="22" customHeight="1" spans="1:13">
      <c r="A900" s="300" t="s">
        <v>1447</v>
      </c>
      <c r="B900" s="301" t="s">
        <v>1448</v>
      </c>
      <c r="C900" s="302"/>
      <c r="D900" s="303">
        <f t="shared" ref="D900:L900" si="692">SUM(D901:D903)</f>
        <v>10381.2742</v>
      </c>
      <c r="E900" s="304">
        <f t="shared" si="692"/>
        <v>210.8696</v>
      </c>
      <c r="F900" s="305">
        <f t="shared" si="692"/>
        <v>198.0356</v>
      </c>
      <c r="G900" s="303">
        <f t="shared" si="692"/>
        <v>12.834</v>
      </c>
      <c r="H900" s="304">
        <f t="shared" si="692"/>
        <v>0</v>
      </c>
      <c r="I900" s="327">
        <f t="shared" si="692"/>
        <v>10170.4046</v>
      </c>
      <c r="J900" s="303">
        <f t="shared" si="692"/>
        <v>300.4046</v>
      </c>
      <c r="K900" s="304">
        <f t="shared" si="692"/>
        <v>0</v>
      </c>
      <c r="L900" s="305">
        <f t="shared" si="692"/>
        <v>9870</v>
      </c>
      <c r="M900" s="328" t="s">
        <v>291</v>
      </c>
    </row>
    <row r="901" s="263" customFormat="1" ht="74" customHeight="1" spans="1:13">
      <c r="A901" s="306" t="s">
        <v>298</v>
      </c>
      <c r="B901" s="307" t="s">
        <v>298</v>
      </c>
      <c r="C901" s="308" t="s">
        <v>569</v>
      </c>
      <c r="D901" s="309">
        <f t="shared" si="688"/>
        <v>247.7196</v>
      </c>
      <c r="E901" s="310">
        <f t="shared" si="689"/>
        <v>210.8696</v>
      </c>
      <c r="F901" s="311">
        <v>198.0356</v>
      </c>
      <c r="G901" s="309">
        <v>12.834</v>
      </c>
      <c r="H901" s="310">
        <v>0</v>
      </c>
      <c r="I901" s="329">
        <f t="shared" si="690"/>
        <v>36.85</v>
      </c>
      <c r="J901" s="309">
        <v>36.85</v>
      </c>
      <c r="K901" s="310">
        <v>0</v>
      </c>
      <c r="L901" s="311">
        <v>0</v>
      </c>
      <c r="M901" s="330" t="s">
        <v>1449</v>
      </c>
    </row>
    <row r="902" s="263" customFormat="1" ht="25" customHeight="1" spans="1:13">
      <c r="A902" s="306" t="s">
        <v>298</v>
      </c>
      <c r="B902" s="307" t="s">
        <v>298</v>
      </c>
      <c r="C902" s="312" t="s">
        <v>1450</v>
      </c>
      <c r="D902" s="309">
        <f t="shared" si="688"/>
        <v>167.5546</v>
      </c>
      <c r="E902" s="310">
        <f t="shared" si="689"/>
        <v>0</v>
      </c>
      <c r="F902" s="311">
        <v>0</v>
      </c>
      <c r="G902" s="309">
        <v>0</v>
      </c>
      <c r="H902" s="310">
        <v>0</v>
      </c>
      <c r="I902" s="329">
        <f t="shared" si="690"/>
        <v>167.5546</v>
      </c>
      <c r="J902" s="309">
        <v>167.5546</v>
      </c>
      <c r="K902" s="310">
        <v>0</v>
      </c>
      <c r="L902" s="311">
        <v>0</v>
      </c>
      <c r="M902" s="330" t="s">
        <v>1451</v>
      </c>
    </row>
    <row r="903" s="263" customFormat="1" ht="27" customHeight="1" spans="1:13">
      <c r="A903" s="306" t="s">
        <v>298</v>
      </c>
      <c r="B903" s="307" t="s">
        <v>298</v>
      </c>
      <c r="C903" s="308"/>
      <c r="D903" s="309">
        <f t="shared" si="688"/>
        <v>9966</v>
      </c>
      <c r="E903" s="310">
        <f t="shared" si="689"/>
        <v>0</v>
      </c>
      <c r="F903" s="311">
        <v>0</v>
      </c>
      <c r="G903" s="309">
        <v>0</v>
      </c>
      <c r="H903" s="310">
        <v>0</v>
      </c>
      <c r="I903" s="329">
        <f t="shared" si="690"/>
        <v>9966</v>
      </c>
      <c r="J903" s="309">
        <v>96</v>
      </c>
      <c r="K903" s="310">
        <v>0</v>
      </c>
      <c r="L903" s="311">
        <v>9870</v>
      </c>
      <c r="M903" s="330" t="s">
        <v>1452</v>
      </c>
    </row>
    <row r="904" s="263" customFormat="1" ht="21" customHeight="1" spans="1:13">
      <c r="A904" s="288" t="s">
        <v>1453</v>
      </c>
      <c r="B904" s="289" t="s">
        <v>1454</v>
      </c>
      <c r="C904" s="290"/>
      <c r="D904" s="291">
        <f t="shared" ref="D904:L904" si="693">D905+D915+D921</f>
        <v>6945.3505</v>
      </c>
      <c r="E904" s="292">
        <f t="shared" si="693"/>
        <v>573.4105</v>
      </c>
      <c r="F904" s="293">
        <f t="shared" si="693"/>
        <v>513.9838</v>
      </c>
      <c r="G904" s="291">
        <f t="shared" si="693"/>
        <v>37.572</v>
      </c>
      <c r="H904" s="292">
        <f t="shared" si="693"/>
        <v>21.8547</v>
      </c>
      <c r="I904" s="323">
        <f t="shared" si="693"/>
        <v>6371.94</v>
      </c>
      <c r="J904" s="291">
        <f t="shared" si="693"/>
        <v>440.94</v>
      </c>
      <c r="K904" s="292">
        <f t="shared" si="693"/>
        <v>1000</v>
      </c>
      <c r="L904" s="293">
        <f t="shared" si="693"/>
        <v>4931</v>
      </c>
      <c r="M904" s="324" t="s">
        <v>291</v>
      </c>
    </row>
    <row r="905" s="263" customFormat="1" ht="21" customHeight="1" spans="1:13">
      <c r="A905" s="294" t="s">
        <v>1455</v>
      </c>
      <c r="B905" s="295" t="s">
        <v>1456</v>
      </c>
      <c r="C905" s="296"/>
      <c r="D905" s="297">
        <f t="shared" ref="D905:L905" si="694">D906+D908+D911+D913</f>
        <v>5901.5505</v>
      </c>
      <c r="E905" s="298">
        <f t="shared" si="694"/>
        <v>573.4105</v>
      </c>
      <c r="F905" s="299">
        <f t="shared" si="694"/>
        <v>513.9838</v>
      </c>
      <c r="G905" s="297">
        <f t="shared" si="694"/>
        <v>37.572</v>
      </c>
      <c r="H905" s="298">
        <f t="shared" si="694"/>
        <v>21.8547</v>
      </c>
      <c r="I905" s="325">
        <f t="shared" si="694"/>
        <v>5328.14</v>
      </c>
      <c r="J905" s="297">
        <f t="shared" si="694"/>
        <v>378.14</v>
      </c>
      <c r="K905" s="298">
        <f t="shared" si="694"/>
        <v>1000</v>
      </c>
      <c r="L905" s="299">
        <f t="shared" si="694"/>
        <v>3950</v>
      </c>
      <c r="M905" s="326" t="s">
        <v>291</v>
      </c>
    </row>
    <row r="906" s="263" customFormat="1" ht="26" customHeight="1" spans="1:13">
      <c r="A906" s="300" t="s">
        <v>1457</v>
      </c>
      <c r="B906" s="301" t="s">
        <v>1458</v>
      </c>
      <c r="C906" s="302"/>
      <c r="D906" s="303">
        <f t="shared" ref="D906:L906" si="695">D907</f>
        <v>183.083</v>
      </c>
      <c r="E906" s="304">
        <f t="shared" si="695"/>
        <v>128.683</v>
      </c>
      <c r="F906" s="305">
        <f t="shared" si="695"/>
        <v>96.6963</v>
      </c>
      <c r="G906" s="303">
        <f t="shared" si="695"/>
        <v>13.314</v>
      </c>
      <c r="H906" s="304">
        <f t="shared" si="695"/>
        <v>18.6727</v>
      </c>
      <c r="I906" s="327">
        <f t="shared" si="695"/>
        <v>54.4</v>
      </c>
      <c r="J906" s="303">
        <f t="shared" si="695"/>
        <v>54.4</v>
      </c>
      <c r="K906" s="304">
        <f t="shared" si="695"/>
        <v>0</v>
      </c>
      <c r="L906" s="305">
        <f t="shared" si="695"/>
        <v>0</v>
      </c>
      <c r="M906" s="328" t="s">
        <v>291</v>
      </c>
    </row>
    <row r="907" s="263" customFormat="1" ht="24" customHeight="1" spans="1:13">
      <c r="A907" s="306" t="s">
        <v>298</v>
      </c>
      <c r="B907" s="307" t="s">
        <v>298</v>
      </c>
      <c r="C907" s="308" t="s">
        <v>550</v>
      </c>
      <c r="D907" s="309">
        <f t="shared" ref="D907:D910" si="696">E907+I907</f>
        <v>183.083</v>
      </c>
      <c r="E907" s="310">
        <f t="shared" ref="E907:E910" si="697">SUBTOTAL(9,F907:H907)</f>
        <v>128.683</v>
      </c>
      <c r="F907" s="311">
        <v>96.6963</v>
      </c>
      <c r="G907" s="309">
        <v>13.314</v>
      </c>
      <c r="H907" s="310">
        <v>18.6727</v>
      </c>
      <c r="I907" s="329">
        <f t="shared" ref="I907:I910" si="698">SUBTOTAL(9,J907:L907)</f>
        <v>54.4</v>
      </c>
      <c r="J907" s="309">
        <v>54.4</v>
      </c>
      <c r="K907" s="310">
        <v>0</v>
      </c>
      <c r="L907" s="311">
        <v>0</v>
      </c>
      <c r="M907" s="330" t="s">
        <v>1459</v>
      </c>
    </row>
    <row r="908" s="263" customFormat="1" ht="22" customHeight="1" spans="1:13">
      <c r="A908" s="300" t="s">
        <v>1460</v>
      </c>
      <c r="B908" s="301" t="s">
        <v>1461</v>
      </c>
      <c r="C908" s="302"/>
      <c r="D908" s="303">
        <f t="shared" ref="D908:L908" si="699">SUM(D909:D910)</f>
        <v>4950</v>
      </c>
      <c r="E908" s="304">
        <f t="shared" si="699"/>
        <v>0</v>
      </c>
      <c r="F908" s="305">
        <f t="shared" si="699"/>
        <v>0</v>
      </c>
      <c r="G908" s="303">
        <f t="shared" si="699"/>
        <v>0</v>
      </c>
      <c r="H908" s="304">
        <f t="shared" si="699"/>
        <v>0</v>
      </c>
      <c r="I908" s="327">
        <f t="shared" si="699"/>
        <v>4950</v>
      </c>
      <c r="J908" s="303">
        <f t="shared" si="699"/>
        <v>0</v>
      </c>
      <c r="K908" s="304">
        <f t="shared" si="699"/>
        <v>1000</v>
      </c>
      <c r="L908" s="305">
        <f t="shared" si="699"/>
        <v>3950</v>
      </c>
      <c r="M908" s="328" t="s">
        <v>291</v>
      </c>
    </row>
    <row r="909" s="263" customFormat="1" ht="47" customHeight="1" spans="1:13">
      <c r="A909" s="306" t="s">
        <v>298</v>
      </c>
      <c r="B909" s="307" t="s">
        <v>298</v>
      </c>
      <c r="C909" s="308" t="s">
        <v>550</v>
      </c>
      <c r="D909" s="309">
        <f t="shared" si="696"/>
        <v>3950</v>
      </c>
      <c r="E909" s="310">
        <f t="shared" si="697"/>
        <v>0</v>
      </c>
      <c r="F909" s="311">
        <v>0</v>
      </c>
      <c r="G909" s="309">
        <v>0</v>
      </c>
      <c r="H909" s="310">
        <v>0</v>
      </c>
      <c r="I909" s="329">
        <f t="shared" si="698"/>
        <v>3950</v>
      </c>
      <c r="J909" s="309">
        <v>0</v>
      </c>
      <c r="K909" s="310">
        <v>0</v>
      </c>
      <c r="L909" s="311">
        <v>3950</v>
      </c>
      <c r="M909" s="330" t="s">
        <v>1462</v>
      </c>
    </row>
    <row r="910" s="263" customFormat="1" ht="18" customHeight="1" spans="1:13">
      <c r="A910" s="306" t="s">
        <v>298</v>
      </c>
      <c r="B910" s="307" t="s">
        <v>298</v>
      </c>
      <c r="C910" s="308"/>
      <c r="D910" s="309">
        <f t="shared" si="696"/>
        <v>1000</v>
      </c>
      <c r="E910" s="310">
        <f t="shared" si="697"/>
        <v>0</v>
      </c>
      <c r="F910" s="311">
        <v>0</v>
      </c>
      <c r="G910" s="309">
        <v>0</v>
      </c>
      <c r="H910" s="310">
        <v>0</v>
      </c>
      <c r="I910" s="329">
        <f t="shared" si="698"/>
        <v>1000</v>
      </c>
      <c r="J910" s="309">
        <v>0</v>
      </c>
      <c r="K910" s="310">
        <v>1000</v>
      </c>
      <c r="L910" s="311">
        <v>0</v>
      </c>
      <c r="M910" s="330" t="s">
        <v>1463</v>
      </c>
    </row>
    <row r="911" s="263" customFormat="1" ht="22" customHeight="1" spans="1:13">
      <c r="A911" s="300" t="s">
        <v>1464</v>
      </c>
      <c r="B911" s="301" t="s">
        <v>1465</v>
      </c>
      <c r="C911" s="302"/>
      <c r="D911" s="303">
        <f t="shared" ref="D911:L911" si="700">D912</f>
        <v>714.6875</v>
      </c>
      <c r="E911" s="304">
        <f t="shared" si="700"/>
        <v>444.7275</v>
      </c>
      <c r="F911" s="305">
        <f t="shared" si="700"/>
        <v>417.2875</v>
      </c>
      <c r="G911" s="303">
        <f t="shared" si="700"/>
        <v>24.258</v>
      </c>
      <c r="H911" s="304">
        <f t="shared" si="700"/>
        <v>3.182</v>
      </c>
      <c r="I911" s="327">
        <f t="shared" si="700"/>
        <v>269.96</v>
      </c>
      <c r="J911" s="303">
        <f t="shared" si="700"/>
        <v>269.96</v>
      </c>
      <c r="K911" s="304">
        <f t="shared" si="700"/>
        <v>0</v>
      </c>
      <c r="L911" s="305">
        <f t="shared" si="700"/>
        <v>0</v>
      </c>
      <c r="M911" s="328" t="s">
        <v>291</v>
      </c>
    </row>
    <row r="912" s="263" customFormat="1" ht="63" customHeight="1" spans="1:13">
      <c r="A912" s="306" t="s">
        <v>298</v>
      </c>
      <c r="B912" s="307" t="s">
        <v>298</v>
      </c>
      <c r="C912" s="308" t="s">
        <v>550</v>
      </c>
      <c r="D912" s="309">
        <f t="shared" ref="D912:D917" si="701">E912+I912</f>
        <v>714.6875</v>
      </c>
      <c r="E912" s="310">
        <f t="shared" ref="E912:E917" si="702">SUBTOTAL(9,F912:H912)</f>
        <v>444.7275</v>
      </c>
      <c r="F912" s="311">
        <v>417.2875</v>
      </c>
      <c r="G912" s="309">
        <v>24.258</v>
      </c>
      <c r="H912" s="310">
        <v>3.182</v>
      </c>
      <c r="I912" s="329">
        <f t="shared" ref="I912:I917" si="703">SUBTOTAL(9,J912:L912)</f>
        <v>269.96</v>
      </c>
      <c r="J912" s="309">
        <v>269.96</v>
      </c>
      <c r="K912" s="310">
        <v>0</v>
      </c>
      <c r="L912" s="311">
        <v>0</v>
      </c>
      <c r="M912" s="330" t="s">
        <v>1466</v>
      </c>
    </row>
    <row r="913" s="263" customFormat="1" ht="22" customHeight="1" spans="1:13">
      <c r="A913" s="300" t="s">
        <v>1467</v>
      </c>
      <c r="B913" s="301" t="s">
        <v>1468</v>
      </c>
      <c r="C913" s="302"/>
      <c r="D913" s="303">
        <f t="shared" ref="D913:L913" si="704">D914</f>
        <v>53.78</v>
      </c>
      <c r="E913" s="304">
        <f t="shared" si="704"/>
        <v>0</v>
      </c>
      <c r="F913" s="305">
        <f t="shared" si="704"/>
        <v>0</v>
      </c>
      <c r="G913" s="303">
        <f t="shared" si="704"/>
        <v>0</v>
      </c>
      <c r="H913" s="304">
        <f t="shared" si="704"/>
        <v>0</v>
      </c>
      <c r="I913" s="327">
        <f t="shared" si="704"/>
        <v>53.78</v>
      </c>
      <c r="J913" s="303">
        <f t="shared" si="704"/>
        <v>53.78</v>
      </c>
      <c r="K913" s="304">
        <f t="shared" si="704"/>
        <v>0</v>
      </c>
      <c r="L913" s="305">
        <f t="shared" si="704"/>
        <v>0</v>
      </c>
      <c r="M913" s="328" t="s">
        <v>291</v>
      </c>
    </row>
    <row r="914" s="263" customFormat="1" ht="48" customHeight="1" spans="1:13">
      <c r="A914" s="306" t="s">
        <v>298</v>
      </c>
      <c r="B914" s="307" t="s">
        <v>298</v>
      </c>
      <c r="C914" s="308" t="s">
        <v>550</v>
      </c>
      <c r="D914" s="309">
        <f t="shared" si="701"/>
        <v>53.78</v>
      </c>
      <c r="E914" s="310">
        <f t="shared" si="702"/>
        <v>0</v>
      </c>
      <c r="F914" s="311">
        <v>0</v>
      </c>
      <c r="G914" s="309">
        <v>0</v>
      </c>
      <c r="H914" s="310">
        <v>0</v>
      </c>
      <c r="I914" s="329">
        <f t="shared" si="703"/>
        <v>53.78</v>
      </c>
      <c r="J914" s="309">
        <v>53.78</v>
      </c>
      <c r="K914" s="310">
        <v>0</v>
      </c>
      <c r="L914" s="311">
        <v>0</v>
      </c>
      <c r="M914" s="330" t="s">
        <v>1469</v>
      </c>
    </row>
    <row r="915" s="263" customFormat="1" ht="21" customHeight="1" spans="1:13">
      <c r="A915" s="294" t="s">
        <v>1470</v>
      </c>
      <c r="B915" s="295" t="s">
        <v>1471</v>
      </c>
      <c r="C915" s="296"/>
      <c r="D915" s="297">
        <f t="shared" ref="D915:L915" si="705">D916+D918</f>
        <v>1013.8</v>
      </c>
      <c r="E915" s="298">
        <f t="shared" si="705"/>
        <v>0</v>
      </c>
      <c r="F915" s="299">
        <f t="shared" si="705"/>
        <v>0</v>
      </c>
      <c r="G915" s="297">
        <f t="shared" si="705"/>
        <v>0</v>
      </c>
      <c r="H915" s="298">
        <f t="shared" si="705"/>
        <v>0</v>
      </c>
      <c r="I915" s="325">
        <f t="shared" si="705"/>
        <v>1013.8</v>
      </c>
      <c r="J915" s="297">
        <f t="shared" si="705"/>
        <v>32.8</v>
      </c>
      <c r="K915" s="298">
        <f t="shared" si="705"/>
        <v>0</v>
      </c>
      <c r="L915" s="299">
        <f t="shared" si="705"/>
        <v>981</v>
      </c>
      <c r="M915" s="326" t="s">
        <v>291</v>
      </c>
    </row>
    <row r="916" s="263" customFormat="1" ht="22" customHeight="1" spans="1:13">
      <c r="A916" s="300" t="s">
        <v>1472</v>
      </c>
      <c r="B916" s="301" t="s">
        <v>1473</v>
      </c>
      <c r="C916" s="302"/>
      <c r="D916" s="303">
        <f t="shared" ref="D916:L916" si="706">D917</f>
        <v>32.8</v>
      </c>
      <c r="E916" s="304">
        <f t="shared" si="706"/>
        <v>0</v>
      </c>
      <c r="F916" s="305">
        <f t="shared" si="706"/>
        <v>0</v>
      </c>
      <c r="G916" s="303">
        <f t="shared" si="706"/>
        <v>0</v>
      </c>
      <c r="H916" s="304">
        <f t="shared" si="706"/>
        <v>0</v>
      </c>
      <c r="I916" s="327">
        <f t="shared" si="706"/>
        <v>32.8</v>
      </c>
      <c r="J916" s="303">
        <f t="shared" si="706"/>
        <v>32.8</v>
      </c>
      <c r="K916" s="304">
        <f t="shared" si="706"/>
        <v>0</v>
      </c>
      <c r="L916" s="305">
        <f t="shared" si="706"/>
        <v>0</v>
      </c>
      <c r="M916" s="328" t="s">
        <v>291</v>
      </c>
    </row>
    <row r="917" s="263" customFormat="1" ht="18.75" customHeight="1" spans="1:13">
      <c r="A917" s="306" t="s">
        <v>298</v>
      </c>
      <c r="B917" s="307" t="s">
        <v>298</v>
      </c>
      <c r="C917" s="308" t="s">
        <v>550</v>
      </c>
      <c r="D917" s="309">
        <f t="shared" si="701"/>
        <v>32.8</v>
      </c>
      <c r="E917" s="310">
        <f t="shared" si="702"/>
        <v>0</v>
      </c>
      <c r="F917" s="311">
        <v>0</v>
      </c>
      <c r="G917" s="309">
        <v>0</v>
      </c>
      <c r="H917" s="310">
        <v>0</v>
      </c>
      <c r="I917" s="329">
        <f t="shared" si="703"/>
        <v>32.8</v>
      </c>
      <c r="J917" s="309">
        <v>32.8</v>
      </c>
      <c r="K917" s="310">
        <v>0</v>
      </c>
      <c r="L917" s="311">
        <v>0</v>
      </c>
      <c r="M917" s="330" t="s">
        <v>1474</v>
      </c>
    </row>
    <row r="918" s="263" customFormat="1" ht="22" customHeight="1" spans="1:13">
      <c r="A918" s="300" t="s">
        <v>1475</v>
      </c>
      <c r="B918" s="301" t="s">
        <v>1476</v>
      </c>
      <c r="C918" s="302"/>
      <c r="D918" s="303">
        <f t="shared" ref="D918:L918" si="707">SUM(D919:D920)</f>
        <v>981</v>
      </c>
      <c r="E918" s="304">
        <f t="shared" si="707"/>
        <v>0</v>
      </c>
      <c r="F918" s="305">
        <f t="shared" si="707"/>
        <v>0</v>
      </c>
      <c r="G918" s="303">
        <f t="shared" si="707"/>
        <v>0</v>
      </c>
      <c r="H918" s="304">
        <f t="shared" si="707"/>
        <v>0</v>
      </c>
      <c r="I918" s="327">
        <f t="shared" si="707"/>
        <v>981</v>
      </c>
      <c r="J918" s="303">
        <f t="shared" si="707"/>
        <v>0</v>
      </c>
      <c r="K918" s="304">
        <f t="shared" si="707"/>
        <v>0</v>
      </c>
      <c r="L918" s="305">
        <f t="shared" si="707"/>
        <v>981</v>
      </c>
      <c r="M918" s="328" t="s">
        <v>291</v>
      </c>
    </row>
    <row r="919" s="263" customFormat="1" ht="30" customHeight="1" spans="1:13">
      <c r="A919" s="306" t="s">
        <v>298</v>
      </c>
      <c r="B919" s="307" t="s">
        <v>298</v>
      </c>
      <c r="C919" s="308" t="s">
        <v>550</v>
      </c>
      <c r="D919" s="309">
        <f t="shared" ref="D919:D923" si="708">E919+I919</f>
        <v>300</v>
      </c>
      <c r="E919" s="310">
        <f t="shared" ref="E919:E923" si="709">SUBTOTAL(9,F919:H919)</f>
        <v>0</v>
      </c>
      <c r="F919" s="311">
        <v>0</v>
      </c>
      <c r="G919" s="309">
        <v>0</v>
      </c>
      <c r="H919" s="310">
        <v>0</v>
      </c>
      <c r="I919" s="329">
        <f t="shared" ref="I919:I923" si="710">SUBTOTAL(9,J919:L919)</f>
        <v>300</v>
      </c>
      <c r="J919" s="309">
        <v>0</v>
      </c>
      <c r="K919" s="310">
        <v>0</v>
      </c>
      <c r="L919" s="311">
        <v>300</v>
      </c>
      <c r="M919" s="330" t="s">
        <v>1477</v>
      </c>
    </row>
    <row r="920" s="263" customFormat="1" ht="25" customHeight="1" spans="1:13">
      <c r="A920" s="306" t="s">
        <v>298</v>
      </c>
      <c r="B920" s="307" t="s">
        <v>298</v>
      </c>
      <c r="C920" s="308"/>
      <c r="D920" s="309">
        <f t="shared" si="708"/>
        <v>681</v>
      </c>
      <c r="E920" s="310">
        <f t="shared" si="709"/>
        <v>0</v>
      </c>
      <c r="F920" s="311">
        <v>0</v>
      </c>
      <c r="G920" s="309">
        <v>0</v>
      </c>
      <c r="H920" s="310">
        <v>0</v>
      </c>
      <c r="I920" s="329">
        <f t="shared" si="710"/>
        <v>681</v>
      </c>
      <c r="J920" s="309">
        <v>0</v>
      </c>
      <c r="K920" s="310">
        <v>0</v>
      </c>
      <c r="L920" s="311">
        <v>681</v>
      </c>
      <c r="M920" s="330" t="s">
        <v>1478</v>
      </c>
    </row>
    <row r="921" s="263" customFormat="1" ht="18.75" customHeight="1" spans="1:13">
      <c r="A921" s="294" t="s">
        <v>1479</v>
      </c>
      <c r="B921" s="295" t="s">
        <v>1480</v>
      </c>
      <c r="C921" s="296"/>
      <c r="D921" s="297">
        <f t="shared" ref="D921:L921" si="711">D922</f>
        <v>30</v>
      </c>
      <c r="E921" s="298">
        <f t="shared" si="711"/>
        <v>0</v>
      </c>
      <c r="F921" s="299">
        <f t="shared" si="711"/>
        <v>0</v>
      </c>
      <c r="G921" s="297">
        <f t="shared" si="711"/>
        <v>0</v>
      </c>
      <c r="H921" s="298">
        <f t="shared" si="711"/>
        <v>0</v>
      </c>
      <c r="I921" s="325">
        <f t="shared" si="711"/>
        <v>30</v>
      </c>
      <c r="J921" s="297">
        <f t="shared" si="711"/>
        <v>30</v>
      </c>
      <c r="K921" s="298">
        <f t="shared" si="711"/>
        <v>0</v>
      </c>
      <c r="L921" s="299">
        <f t="shared" si="711"/>
        <v>0</v>
      </c>
      <c r="M921" s="326" t="s">
        <v>291</v>
      </c>
    </row>
    <row r="922" s="263" customFormat="1" ht="22" customHeight="1" spans="1:13">
      <c r="A922" s="300" t="s">
        <v>1481</v>
      </c>
      <c r="B922" s="301" t="s">
        <v>1482</v>
      </c>
      <c r="C922" s="302"/>
      <c r="D922" s="303">
        <f t="shared" ref="D922:L922" si="712">D923</f>
        <v>30</v>
      </c>
      <c r="E922" s="304">
        <f t="shared" si="712"/>
        <v>0</v>
      </c>
      <c r="F922" s="305">
        <f t="shared" si="712"/>
        <v>0</v>
      </c>
      <c r="G922" s="303">
        <f t="shared" si="712"/>
        <v>0</v>
      </c>
      <c r="H922" s="304">
        <f t="shared" si="712"/>
        <v>0</v>
      </c>
      <c r="I922" s="327">
        <f t="shared" si="712"/>
        <v>30</v>
      </c>
      <c r="J922" s="303">
        <f t="shared" si="712"/>
        <v>30</v>
      </c>
      <c r="K922" s="304">
        <f t="shared" si="712"/>
        <v>0</v>
      </c>
      <c r="L922" s="305">
        <f t="shared" si="712"/>
        <v>0</v>
      </c>
      <c r="M922" s="328" t="s">
        <v>291</v>
      </c>
    </row>
    <row r="923" s="263" customFormat="1" ht="18.75" customHeight="1" spans="1:13">
      <c r="A923" s="306" t="s">
        <v>298</v>
      </c>
      <c r="B923" s="307" t="s">
        <v>298</v>
      </c>
      <c r="C923" s="308"/>
      <c r="D923" s="309">
        <f t="shared" si="708"/>
        <v>30</v>
      </c>
      <c r="E923" s="310">
        <f t="shared" si="709"/>
        <v>0</v>
      </c>
      <c r="F923" s="311">
        <v>0</v>
      </c>
      <c r="G923" s="309">
        <v>0</v>
      </c>
      <c r="H923" s="310">
        <v>0</v>
      </c>
      <c r="I923" s="329">
        <f t="shared" si="710"/>
        <v>30</v>
      </c>
      <c r="J923" s="309">
        <v>30</v>
      </c>
      <c r="K923" s="310">
        <v>0</v>
      </c>
      <c r="L923" s="311">
        <v>0</v>
      </c>
      <c r="M923" s="330" t="s">
        <v>1483</v>
      </c>
    </row>
    <row r="924" s="263" customFormat="1" ht="18.75" customHeight="1" spans="1:13">
      <c r="A924" s="288" t="s">
        <v>1484</v>
      </c>
      <c r="B924" s="289" t="s">
        <v>1485</v>
      </c>
      <c r="C924" s="290"/>
      <c r="D924" s="291">
        <f t="shared" ref="D924:L924" si="713">D925+D930+D933</f>
        <v>816.6683</v>
      </c>
      <c r="E924" s="292">
        <f t="shared" si="713"/>
        <v>356.1983</v>
      </c>
      <c r="F924" s="293">
        <f t="shared" si="713"/>
        <v>261.9776</v>
      </c>
      <c r="G924" s="291">
        <f t="shared" si="713"/>
        <v>18.0742</v>
      </c>
      <c r="H924" s="292">
        <f t="shared" si="713"/>
        <v>76.1465</v>
      </c>
      <c r="I924" s="323">
        <f t="shared" si="713"/>
        <v>460.47</v>
      </c>
      <c r="J924" s="291">
        <f t="shared" si="713"/>
        <v>80.47</v>
      </c>
      <c r="K924" s="292">
        <f t="shared" si="713"/>
        <v>0</v>
      </c>
      <c r="L924" s="293">
        <f t="shared" si="713"/>
        <v>380</v>
      </c>
      <c r="M924" s="324" t="s">
        <v>291</v>
      </c>
    </row>
    <row r="925" s="263" customFormat="1" ht="18.75" customHeight="1" spans="1:13">
      <c r="A925" s="294" t="s">
        <v>1486</v>
      </c>
      <c r="B925" s="295" t="s">
        <v>1487</v>
      </c>
      <c r="C925" s="296"/>
      <c r="D925" s="297">
        <f t="shared" ref="D925:L925" si="714">D926+D928</f>
        <v>356.1151</v>
      </c>
      <c r="E925" s="298">
        <f t="shared" si="714"/>
        <v>282.5251</v>
      </c>
      <c r="F925" s="299">
        <f t="shared" si="714"/>
        <v>203.9295</v>
      </c>
      <c r="G925" s="297">
        <f t="shared" si="714"/>
        <v>9.2782</v>
      </c>
      <c r="H925" s="298">
        <f t="shared" si="714"/>
        <v>69.3174</v>
      </c>
      <c r="I925" s="325">
        <f t="shared" si="714"/>
        <v>73.59</v>
      </c>
      <c r="J925" s="297">
        <f t="shared" si="714"/>
        <v>73.59</v>
      </c>
      <c r="K925" s="298">
        <f t="shared" si="714"/>
        <v>0</v>
      </c>
      <c r="L925" s="299">
        <f t="shared" si="714"/>
        <v>0</v>
      </c>
      <c r="M925" s="326" t="s">
        <v>291</v>
      </c>
    </row>
    <row r="926" s="263" customFormat="1" ht="22" customHeight="1" spans="1:13">
      <c r="A926" s="300" t="s">
        <v>1488</v>
      </c>
      <c r="B926" s="301" t="s">
        <v>1489</v>
      </c>
      <c r="C926" s="302"/>
      <c r="D926" s="303">
        <f t="shared" ref="D926:L926" si="715">D927</f>
        <v>38.6526</v>
      </c>
      <c r="E926" s="304">
        <f t="shared" si="715"/>
        <v>38.6526</v>
      </c>
      <c r="F926" s="305">
        <f t="shared" si="715"/>
        <v>0</v>
      </c>
      <c r="G926" s="303">
        <f t="shared" si="715"/>
        <v>0</v>
      </c>
      <c r="H926" s="304">
        <f t="shared" si="715"/>
        <v>38.6526</v>
      </c>
      <c r="I926" s="327">
        <f t="shared" si="715"/>
        <v>0</v>
      </c>
      <c r="J926" s="303">
        <f t="shared" si="715"/>
        <v>0</v>
      </c>
      <c r="K926" s="304">
        <f t="shared" si="715"/>
        <v>0</v>
      </c>
      <c r="L926" s="305">
        <f t="shared" si="715"/>
        <v>0</v>
      </c>
      <c r="M926" s="328" t="s">
        <v>291</v>
      </c>
    </row>
    <row r="927" s="263" customFormat="1" ht="18.75" customHeight="1" spans="1:13">
      <c r="A927" s="306" t="s">
        <v>298</v>
      </c>
      <c r="B927" s="307" t="s">
        <v>298</v>
      </c>
      <c r="C927" s="308" t="s">
        <v>1490</v>
      </c>
      <c r="D927" s="309">
        <f t="shared" ref="D927:D932" si="716">E927+I927</f>
        <v>38.6526</v>
      </c>
      <c r="E927" s="310">
        <f t="shared" ref="E927:E932" si="717">SUBTOTAL(9,F927:H927)</f>
        <v>38.6526</v>
      </c>
      <c r="F927" s="311">
        <v>0</v>
      </c>
      <c r="G927" s="309">
        <v>0</v>
      </c>
      <c r="H927" s="310">
        <v>38.6526</v>
      </c>
      <c r="I927" s="329">
        <f t="shared" ref="I927:I932" si="718">SUBTOTAL(9,J927:L927)</f>
        <v>0</v>
      </c>
      <c r="J927" s="309">
        <v>0</v>
      </c>
      <c r="K927" s="310">
        <v>0</v>
      </c>
      <c r="L927" s="311">
        <v>0</v>
      </c>
      <c r="M927" s="330" t="s">
        <v>291</v>
      </c>
    </row>
    <row r="928" s="263" customFormat="1" ht="22" customHeight="1" spans="1:13">
      <c r="A928" s="300" t="s">
        <v>1491</v>
      </c>
      <c r="B928" s="301" t="s">
        <v>1492</v>
      </c>
      <c r="C928" s="302"/>
      <c r="D928" s="303">
        <f t="shared" ref="D928:L928" si="719">D929</f>
        <v>317.4625</v>
      </c>
      <c r="E928" s="304">
        <f t="shared" si="719"/>
        <v>243.8725</v>
      </c>
      <c r="F928" s="305">
        <f t="shared" si="719"/>
        <v>203.9295</v>
      </c>
      <c r="G928" s="303">
        <f t="shared" si="719"/>
        <v>9.2782</v>
      </c>
      <c r="H928" s="304">
        <f t="shared" si="719"/>
        <v>30.6648</v>
      </c>
      <c r="I928" s="327">
        <f t="shared" si="719"/>
        <v>73.59</v>
      </c>
      <c r="J928" s="303">
        <f t="shared" si="719"/>
        <v>73.59</v>
      </c>
      <c r="K928" s="304">
        <f t="shared" si="719"/>
        <v>0</v>
      </c>
      <c r="L928" s="305">
        <f t="shared" si="719"/>
        <v>0</v>
      </c>
      <c r="M928" s="328" t="s">
        <v>291</v>
      </c>
    </row>
    <row r="929" s="263" customFormat="1" ht="56" customHeight="1" spans="1:13">
      <c r="A929" s="306" t="s">
        <v>298</v>
      </c>
      <c r="B929" s="307" t="s">
        <v>298</v>
      </c>
      <c r="C929" s="308" t="s">
        <v>572</v>
      </c>
      <c r="D929" s="309">
        <f t="shared" si="716"/>
        <v>317.4625</v>
      </c>
      <c r="E929" s="310">
        <f t="shared" si="717"/>
        <v>243.8725</v>
      </c>
      <c r="F929" s="311">
        <v>203.9295</v>
      </c>
      <c r="G929" s="309">
        <v>9.2782</v>
      </c>
      <c r="H929" s="310">
        <v>30.6648</v>
      </c>
      <c r="I929" s="329">
        <f t="shared" si="718"/>
        <v>73.59</v>
      </c>
      <c r="J929" s="309">
        <v>73.59</v>
      </c>
      <c r="K929" s="310">
        <v>0</v>
      </c>
      <c r="L929" s="311">
        <v>0</v>
      </c>
      <c r="M929" s="330" t="s">
        <v>1493</v>
      </c>
    </row>
    <row r="930" s="263" customFormat="1" ht="18.75" customHeight="1" spans="1:13">
      <c r="A930" s="294" t="s">
        <v>1494</v>
      </c>
      <c r="B930" s="295" t="s">
        <v>1495</v>
      </c>
      <c r="C930" s="296"/>
      <c r="D930" s="297">
        <f t="shared" ref="D930:L930" si="720">D931</f>
        <v>80.5532</v>
      </c>
      <c r="E930" s="298">
        <f t="shared" si="720"/>
        <v>73.6732</v>
      </c>
      <c r="F930" s="299">
        <f t="shared" si="720"/>
        <v>58.0481</v>
      </c>
      <c r="G930" s="297">
        <f t="shared" si="720"/>
        <v>8.796</v>
      </c>
      <c r="H930" s="298">
        <f t="shared" si="720"/>
        <v>6.8291</v>
      </c>
      <c r="I930" s="325">
        <f t="shared" si="720"/>
        <v>6.88</v>
      </c>
      <c r="J930" s="297">
        <f t="shared" si="720"/>
        <v>6.88</v>
      </c>
      <c r="K930" s="298">
        <f t="shared" si="720"/>
        <v>0</v>
      </c>
      <c r="L930" s="299">
        <f t="shared" si="720"/>
        <v>0</v>
      </c>
      <c r="M930" s="326" t="s">
        <v>291</v>
      </c>
    </row>
    <row r="931" s="263" customFormat="1" ht="22" customHeight="1" spans="1:13">
      <c r="A931" s="300" t="s">
        <v>1496</v>
      </c>
      <c r="B931" s="301" t="s">
        <v>1497</v>
      </c>
      <c r="C931" s="302"/>
      <c r="D931" s="303">
        <f t="shared" ref="D931:L931" si="721">D932</f>
        <v>80.5532</v>
      </c>
      <c r="E931" s="304">
        <f t="shared" si="721"/>
        <v>73.6732</v>
      </c>
      <c r="F931" s="305">
        <f t="shared" si="721"/>
        <v>58.0481</v>
      </c>
      <c r="G931" s="303">
        <f t="shared" si="721"/>
        <v>8.796</v>
      </c>
      <c r="H931" s="304">
        <f t="shared" si="721"/>
        <v>6.8291</v>
      </c>
      <c r="I931" s="327">
        <f t="shared" si="721"/>
        <v>6.88</v>
      </c>
      <c r="J931" s="303">
        <f t="shared" si="721"/>
        <v>6.88</v>
      </c>
      <c r="K931" s="304">
        <f t="shared" si="721"/>
        <v>0</v>
      </c>
      <c r="L931" s="305">
        <f t="shared" si="721"/>
        <v>0</v>
      </c>
      <c r="M931" s="328" t="s">
        <v>291</v>
      </c>
    </row>
    <row r="932" s="263" customFormat="1" ht="95" customHeight="1" spans="1:13">
      <c r="A932" s="306" t="s">
        <v>298</v>
      </c>
      <c r="B932" s="307" t="s">
        <v>298</v>
      </c>
      <c r="C932" s="308" t="s">
        <v>535</v>
      </c>
      <c r="D932" s="309">
        <f t="shared" si="716"/>
        <v>80.5532</v>
      </c>
      <c r="E932" s="310">
        <f t="shared" si="717"/>
        <v>73.6732</v>
      </c>
      <c r="F932" s="311">
        <v>58.0481</v>
      </c>
      <c r="G932" s="309">
        <v>8.796</v>
      </c>
      <c r="H932" s="310">
        <v>6.8291</v>
      </c>
      <c r="I932" s="329">
        <f t="shared" si="718"/>
        <v>6.88</v>
      </c>
      <c r="J932" s="309">
        <v>6.88</v>
      </c>
      <c r="K932" s="310">
        <v>0</v>
      </c>
      <c r="L932" s="311">
        <v>0</v>
      </c>
      <c r="M932" s="330" t="s">
        <v>1498</v>
      </c>
    </row>
    <row r="933" s="263" customFormat="1" ht="26" customHeight="1" spans="1:13">
      <c r="A933" s="294" t="s">
        <v>1499</v>
      </c>
      <c r="B933" s="295" t="s">
        <v>1500</v>
      </c>
      <c r="C933" s="296"/>
      <c r="D933" s="297">
        <f t="shared" ref="D933:L933" si="722">D934</f>
        <v>380</v>
      </c>
      <c r="E933" s="298">
        <f t="shared" si="722"/>
        <v>0</v>
      </c>
      <c r="F933" s="299">
        <f t="shared" si="722"/>
        <v>0</v>
      </c>
      <c r="G933" s="297">
        <f t="shared" si="722"/>
        <v>0</v>
      </c>
      <c r="H933" s="298">
        <f t="shared" si="722"/>
        <v>0</v>
      </c>
      <c r="I933" s="325">
        <f t="shared" si="722"/>
        <v>380</v>
      </c>
      <c r="J933" s="297">
        <f t="shared" si="722"/>
        <v>0</v>
      </c>
      <c r="K933" s="298">
        <f t="shared" si="722"/>
        <v>0</v>
      </c>
      <c r="L933" s="299">
        <f t="shared" si="722"/>
        <v>380</v>
      </c>
      <c r="M933" s="326" t="s">
        <v>291</v>
      </c>
    </row>
    <row r="934" s="263" customFormat="1" ht="22" customHeight="1" spans="1:13">
      <c r="A934" s="300" t="s">
        <v>1501</v>
      </c>
      <c r="B934" s="301" t="s">
        <v>1502</v>
      </c>
      <c r="C934" s="302"/>
      <c r="D934" s="303">
        <f t="shared" ref="D934:L934" si="723">D935</f>
        <v>380</v>
      </c>
      <c r="E934" s="304">
        <f t="shared" si="723"/>
        <v>0</v>
      </c>
      <c r="F934" s="305">
        <f t="shared" si="723"/>
        <v>0</v>
      </c>
      <c r="G934" s="303">
        <f t="shared" si="723"/>
        <v>0</v>
      </c>
      <c r="H934" s="304">
        <f t="shared" si="723"/>
        <v>0</v>
      </c>
      <c r="I934" s="327">
        <f t="shared" si="723"/>
        <v>380</v>
      </c>
      <c r="J934" s="303">
        <f t="shared" si="723"/>
        <v>0</v>
      </c>
      <c r="K934" s="304">
        <f t="shared" si="723"/>
        <v>0</v>
      </c>
      <c r="L934" s="305">
        <f t="shared" si="723"/>
        <v>380</v>
      </c>
      <c r="M934" s="328" t="s">
        <v>291</v>
      </c>
    </row>
    <row r="935" s="263" customFormat="1" ht="27" customHeight="1" spans="1:13">
      <c r="A935" s="306" t="s">
        <v>298</v>
      </c>
      <c r="B935" s="307" t="s">
        <v>298</v>
      </c>
      <c r="C935" s="308" t="s">
        <v>464</v>
      </c>
      <c r="D935" s="309">
        <f>E935+I935</f>
        <v>380</v>
      </c>
      <c r="E935" s="310">
        <f>SUBTOTAL(9,F935:H935)</f>
        <v>0</v>
      </c>
      <c r="F935" s="311">
        <v>0</v>
      </c>
      <c r="G935" s="309">
        <v>0</v>
      </c>
      <c r="H935" s="310">
        <v>0</v>
      </c>
      <c r="I935" s="329">
        <f>SUBTOTAL(9,J935:L935)</f>
        <v>380</v>
      </c>
      <c r="J935" s="309">
        <v>0</v>
      </c>
      <c r="K935" s="310">
        <v>0</v>
      </c>
      <c r="L935" s="311">
        <v>380</v>
      </c>
      <c r="M935" s="330" t="s">
        <v>1503</v>
      </c>
    </row>
    <row r="936" s="263" customFormat="1" ht="18.75" customHeight="1" spans="1:13">
      <c r="A936" s="288" t="s">
        <v>1504</v>
      </c>
      <c r="B936" s="289" t="s">
        <v>1505</v>
      </c>
      <c r="C936" s="290"/>
      <c r="D936" s="291">
        <f t="shared" ref="D936:L936" si="724">D937+D944</f>
        <v>2105.5966</v>
      </c>
      <c r="E936" s="292">
        <f t="shared" si="724"/>
        <v>78.0682</v>
      </c>
      <c r="F936" s="293">
        <f t="shared" si="724"/>
        <v>54.5985</v>
      </c>
      <c r="G936" s="291">
        <f t="shared" si="724"/>
        <v>8.196</v>
      </c>
      <c r="H936" s="292">
        <f t="shared" si="724"/>
        <v>15.2737</v>
      </c>
      <c r="I936" s="323">
        <f t="shared" si="724"/>
        <v>2027.5284</v>
      </c>
      <c r="J936" s="291">
        <f t="shared" si="724"/>
        <v>45.24</v>
      </c>
      <c r="K936" s="292">
        <f t="shared" si="724"/>
        <v>1182.2884</v>
      </c>
      <c r="L936" s="293">
        <f t="shared" si="724"/>
        <v>800</v>
      </c>
      <c r="M936" s="324" t="s">
        <v>291</v>
      </c>
    </row>
    <row r="937" s="263" customFormat="1" ht="18.75" customHeight="1" spans="1:13">
      <c r="A937" s="294" t="s">
        <v>1506</v>
      </c>
      <c r="B937" s="295" t="s">
        <v>1507</v>
      </c>
      <c r="C937" s="296"/>
      <c r="D937" s="297">
        <f t="shared" ref="D937:L937" si="725">D938+D940+D942</f>
        <v>2064.8166</v>
      </c>
      <c r="E937" s="298">
        <f t="shared" si="725"/>
        <v>78.0682</v>
      </c>
      <c r="F937" s="299">
        <f t="shared" si="725"/>
        <v>54.5985</v>
      </c>
      <c r="G937" s="297">
        <f t="shared" si="725"/>
        <v>8.196</v>
      </c>
      <c r="H937" s="298">
        <f t="shared" si="725"/>
        <v>15.2737</v>
      </c>
      <c r="I937" s="325">
        <f t="shared" si="725"/>
        <v>1986.7484</v>
      </c>
      <c r="J937" s="297">
        <f t="shared" si="725"/>
        <v>4.46</v>
      </c>
      <c r="K937" s="298">
        <f t="shared" si="725"/>
        <v>1182.2884</v>
      </c>
      <c r="L937" s="299">
        <f t="shared" si="725"/>
        <v>800</v>
      </c>
      <c r="M937" s="326" t="s">
        <v>291</v>
      </c>
    </row>
    <row r="938" s="263" customFormat="1" ht="22" customHeight="1" spans="1:13">
      <c r="A938" s="300" t="s">
        <v>1508</v>
      </c>
      <c r="B938" s="301" t="s">
        <v>1509</v>
      </c>
      <c r="C938" s="302"/>
      <c r="D938" s="303">
        <f t="shared" ref="D938:L938" si="726">D939</f>
        <v>1982.2884</v>
      </c>
      <c r="E938" s="304">
        <f t="shared" si="726"/>
        <v>0</v>
      </c>
      <c r="F938" s="305">
        <f t="shared" si="726"/>
        <v>0</v>
      </c>
      <c r="G938" s="303">
        <f t="shared" si="726"/>
        <v>0</v>
      </c>
      <c r="H938" s="304">
        <f t="shared" si="726"/>
        <v>0</v>
      </c>
      <c r="I938" s="327">
        <f t="shared" si="726"/>
        <v>1982.2884</v>
      </c>
      <c r="J938" s="303">
        <f t="shared" si="726"/>
        <v>0</v>
      </c>
      <c r="K938" s="304">
        <f t="shared" si="726"/>
        <v>1182.2884</v>
      </c>
      <c r="L938" s="305">
        <f t="shared" si="726"/>
        <v>800</v>
      </c>
      <c r="M938" s="328" t="s">
        <v>291</v>
      </c>
    </row>
    <row r="939" s="263" customFormat="1" ht="34" customHeight="1" spans="1:13">
      <c r="A939" s="306" t="s">
        <v>298</v>
      </c>
      <c r="B939" s="307" t="s">
        <v>298</v>
      </c>
      <c r="C939" s="308"/>
      <c r="D939" s="309">
        <f t="shared" ref="D939:D943" si="727">E939+I939</f>
        <v>1982.2884</v>
      </c>
      <c r="E939" s="310">
        <f t="shared" ref="E939:E943" si="728">SUBTOTAL(9,F939:H939)</f>
        <v>0</v>
      </c>
      <c r="F939" s="311">
        <v>0</v>
      </c>
      <c r="G939" s="309">
        <v>0</v>
      </c>
      <c r="H939" s="310">
        <v>0</v>
      </c>
      <c r="I939" s="329">
        <f t="shared" ref="I939:I943" si="729">SUBTOTAL(9,J939:L939)</f>
        <v>1982.2884</v>
      </c>
      <c r="J939" s="309">
        <v>0</v>
      </c>
      <c r="K939" s="310">
        <v>1182.2884</v>
      </c>
      <c r="L939" s="311">
        <v>800</v>
      </c>
      <c r="M939" s="330" t="s">
        <v>1510</v>
      </c>
    </row>
    <row r="940" s="263" customFormat="1" ht="22" customHeight="1" spans="1:13">
      <c r="A940" s="300" t="s">
        <v>1511</v>
      </c>
      <c r="B940" s="301" t="s">
        <v>1512</v>
      </c>
      <c r="C940" s="302"/>
      <c r="D940" s="303">
        <f t="shared" ref="D940:L940" si="730">D941</f>
        <v>79.4282</v>
      </c>
      <c r="E940" s="304">
        <f t="shared" si="730"/>
        <v>76.5682</v>
      </c>
      <c r="F940" s="305">
        <f t="shared" si="730"/>
        <v>54.5985</v>
      </c>
      <c r="G940" s="303">
        <f t="shared" si="730"/>
        <v>6.696</v>
      </c>
      <c r="H940" s="304">
        <f t="shared" si="730"/>
        <v>15.2737</v>
      </c>
      <c r="I940" s="327">
        <f t="shared" si="730"/>
        <v>2.86</v>
      </c>
      <c r="J940" s="303">
        <f t="shared" si="730"/>
        <v>2.86</v>
      </c>
      <c r="K940" s="304">
        <f t="shared" si="730"/>
        <v>0</v>
      </c>
      <c r="L940" s="305">
        <f t="shared" si="730"/>
        <v>0</v>
      </c>
      <c r="M940" s="328" t="s">
        <v>291</v>
      </c>
    </row>
    <row r="941" s="263" customFormat="1" ht="18.75" customHeight="1" spans="1:13">
      <c r="A941" s="306" t="s">
        <v>298</v>
      </c>
      <c r="B941" s="307" t="s">
        <v>298</v>
      </c>
      <c r="C941" s="308" t="s">
        <v>574</v>
      </c>
      <c r="D941" s="309">
        <f t="shared" si="727"/>
        <v>79.4282</v>
      </c>
      <c r="E941" s="310">
        <f t="shared" si="728"/>
        <v>76.5682</v>
      </c>
      <c r="F941" s="311">
        <v>54.5985</v>
      </c>
      <c r="G941" s="309">
        <v>6.696</v>
      </c>
      <c r="H941" s="310">
        <v>15.2737</v>
      </c>
      <c r="I941" s="329">
        <f t="shared" si="729"/>
        <v>2.86</v>
      </c>
      <c r="J941" s="309">
        <v>2.86</v>
      </c>
      <c r="K941" s="310">
        <v>0</v>
      </c>
      <c r="L941" s="311">
        <v>0</v>
      </c>
      <c r="M941" s="330" t="s">
        <v>1513</v>
      </c>
    </row>
    <row r="942" s="263" customFormat="1" ht="22" customHeight="1" spans="1:13">
      <c r="A942" s="300" t="s">
        <v>1514</v>
      </c>
      <c r="B942" s="301" t="s">
        <v>1515</v>
      </c>
      <c r="C942" s="302"/>
      <c r="D942" s="303">
        <f t="shared" ref="D942:L942" si="731">D943</f>
        <v>3.1</v>
      </c>
      <c r="E942" s="304">
        <f t="shared" si="731"/>
        <v>1.5</v>
      </c>
      <c r="F942" s="305">
        <f t="shared" si="731"/>
        <v>0</v>
      </c>
      <c r="G942" s="303">
        <f t="shared" si="731"/>
        <v>1.5</v>
      </c>
      <c r="H942" s="304">
        <f t="shared" si="731"/>
        <v>0</v>
      </c>
      <c r="I942" s="327">
        <f t="shared" si="731"/>
        <v>1.6</v>
      </c>
      <c r="J942" s="303">
        <f t="shared" si="731"/>
        <v>1.6</v>
      </c>
      <c r="K942" s="304">
        <f t="shared" si="731"/>
        <v>0</v>
      </c>
      <c r="L942" s="305">
        <f t="shared" si="731"/>
        <v>0</v>
      </c>
      <c r="M942" s="328" t="s">
        <v>291</v>
      </c>
    </row>
    <row r="943" s="263" customFormat="1" ht="18.75" customHeight="1" spans="1:13">
      <c r="A943" s="306" t="s">
        <v>298</v>
      </c>
      <c r="B943" s="307" t="s">
        <v>298</v>
      </c>
      <c r="C943" s="308" t="s">
        <v>574</v>
      </c>
      <c r="D943" s="309">
        <f t="shared" si="727"/>
        <v>3.1</v>
      </c>
      <c r="E943" s="310">
        <f t="shared" si="728"/>
        <v>1.5</v>
      </c>
      <c r="F943" s="311">
        <v>0</v>
      </c>
      <c r="G943" s="309">
        <v>1.5</v>
      </c>
      <c r="H943" s="310">
        <v>0</v>
      </c>
      <c r="I943" s="329">
        <f t="shared" si="729"/>
        <v>1.6</v>
      </c>
      <c r="J943" s="309">
        <v>1.6</v>
      </c>
      <c r="K943" s="310">
        <v>0</v>
      </c>
      <c r="L943" s="311">
        <v>0</v>
      </c>
      <c r="M943" s="330" t="s">
        <v>1516</v>
      </c>
    </row>
    <row r="944" s="263" customFormat="1" ht="22" customHeight="1" spans="1:13">
      <c r="A944" s="294" t="s">
        <v>1517</v>
      </c>
      <c r="B944" s="295" t="s">
        <v>1518</v>
      </c>
      <c r="C944" s="296"/>
      <c r="D944" s="297">
        <f t="shared" ref="D944:L944" si="732">D945</f>
        <v>40.78</v>
      </c>
      <c r="E944" s="298">
        <f t="shared" si="732"/>
        <v>0</v>
      </c>
      <c r="F944" s="299">
        <f t="shared" si="732"/>
        <v>0</v>
      </c>
      <c r="G944" s="297">
        <f t="shared" si="732"/>
        <v>0</v>
      </c>
      <c r="H944" s="298">
        <f t="shared" si="732"/>
        <v>0</v>
      </c>
      <c r="I944" s="325">
        <f t="shared" si="732"/>
        <v>40.78</v>
      </c>
      <c r="J944" s="297">
        <f t="shared" si="732"/>
        <v>40.78</v>
      </c>
      <c r="K944" s="298">
        <f t="shared" si="732"/>
        <v>0</v>
      </c>
      <c r="L944" s="299">
        <f t="shared" si="732"/>
        <v>0</v>
      </c>
      <c r="M944" s="326" t="s">
        <v>291</v>
      </c>
    </row>
    <row r="945" s="263" customFormat="1" ht="22" customHeight="1" spans="1:13">
      <c r="A945" s="300" t="s">
        <v>1519</v>
      </c>
      <c r="B945" s="301" t="s">
        <v>1520</v>
      </c>
      <c r="C945" s="302"/>
      <c r="D945" s="303">
        <f t="shared" ref="D945:L945" si="733">D946</f>
        <v>40.78</v>
      </c>
      <c r="E945" s="304">
        <f t="shared" si="733"/>
        <v>0</v>
      </c>
      <c r="F945" s="305">
        <f t="shared" si="733"/>
        <v>0</v>
      </c>
      <c r="G945" s="303">
        <f t="shared" si="733"/>
        <v>0</v>
      </c>
      <c r="H945" s="304">
        <f t="shared" si="733"/>
        <v>0</v>
      </c>
      <c r="I945" s="327">
        <f t="shared" si="733"/>
        <v>40.78</v>
      </c>
      <c r="J945" s="303">
        <f t="shared" si="733"/>
        <v>40.78</v>
      </c>
      <c r="K945" s="304">
        <f t="shared" si="733"/>
        <v>0</v>
      </c>
      <c r="L945" s="305">
        <f t="shared" si="733"/>
        <v>0</v>
      </c>
      <c r="M945" s="328" t="s">
        <v>291</v>
      </c>
    </row>
    <row r="946" s="263" customFormat="1" ht="37" customHeight="1" spans="1:13">
      <c r="A946" s="306" t="s">
        <v>298</v>
      </c>
      <c r="B946" s="307" t="s">
        <v>298</v>
      </c>
      <c r="C946" s="308" t="s">
        <v>574</v>
      </c>
      <c r="D946" s="309">
        <f>E946+I946</f>
        <v>40.78</v>
      </c>
      <c r="E946" s="310">
        <f>SUBTOTAL(9,F946:H946)</f>
        <v>0</v>
      </c>
      <c r="F946" s="311">
        <v>0</v>
      </c>
      <c r="G946" s="309">
        <v>0</v>
      </c>
      <c r="H946" s="310">
        <v>0</v>
      </c>
      <c r="I946" s="329">
        <f>SUBTOTAL(9,J946:L946)</f>
        <v>40.78</v>
      </c>
      <c r="J946" s="309">
        <f>5.78+35</f>
        <v>40.78</v>
      </c>
      <c r="K946" s="310">
        <v>0</v>
      </c>
      <c r="L946" s="311">
        <v>0</v>
      </c>
      <c r="M946" s="330" t="s">
        <v>1521</v>
      </c>
    </row>
    <row r="947" s="263" customFormat="1" ht="18.75" customHeight="1" spans="1:13">
      <c r="A947" s="288" t="s">
        <v>1522</v>
      </c>
      <c r="B947" s="289" t="s">
        <v>1523</v>
      </c>
      <c r="C947" s="290"/>
      <c r="D947" s="291">
        <f t="shared" ref="D947:L947" si="734">D948</f>
        <v>1119</v>
      </c>
      <c r="E947" s="292">
        <f t="shared" si="734"/>
        <v>0</v>
      </c>
      <c r="F947" s="293">
        <f t="shared" si="734"/>
        <v>0</v>
      </c>
      <c r="G947" s="291">
        <f t="shared" si="734"/>
        <v>0</v>
      </c>
      <c r="H947" s="292">
        <f t="shared" si="734"/>
        <v>0</v>
      </c>
      <c r="I947" s="323">
        <f t="shared" si="734"/>
        <v>1119</v>
      </c>
      <c r="J947" s="291">
        <f t="shared" si="734"/>
        <v>1119</v>
      </c>
      <c r="K947" s="292">
        <f t="shared" si="734"/>
        <v>0</v>
      </c>
      <c r="L947" s="293">
        <f t="shared" si="734"/>
        <v>0</v>
      </c>
      <c r="M947" s="324" t="s">
        <v>291</v>
      </c>
    </row>
    <row r="948" s="263" customFormat="1" ht="18.75" customHeight="1" spans="1:13">
      <c r="A948" s="294" t="s">
        <v>1524</v>
      </c>
      <c r="B948" s="295" t="s">
        <v>1525</v>
      </c>
      <c r="C948" s="296"/>
      <c r="D948" s="297">
        <f t="shared" ref="D948:L948" si="735">D949</f>
        <v>1119</v>
      </c>
      <c r="E948" s="298">
        <f t="shared" si="735"/>
        <v>0</v>
      </c>
      <c r="F948" s="299">
        <f t="shared" si="735"/>
        <v>0</v>
      </c>
      <c r="G948" s="297">
        <f t="shared" si="735"/>
        <v>0</v>
      </c>
      <c r="H948" s="298">
        <f t="shared" si="735"/>
        <v>0</v>
      </c>
      <c r="I948" s="325">
        <f t="shared" si="735"/>
        <v>1119</v>
      </c>
      <c r="J948" s="297">
        <f t="shared" si="735"/>
        <v>1119</v>
      </c>
      <c r="K948" s="298">
        <f t="shared" si="735"/>
        <v>0</v>
      </c>
      <c r="L948" s="299">
        <f t="shared" si="735"/>
        <v>0</v>
      </c>
      <c r="M948" s="326" t="s">
        <v>291</v>
      </c>
    </row>
    <row r="949" s="263" customFormat="1" ht="22" customHeight="1" spans="1:13">
      <c r="A949" s="300" t="s">
        <v>1526</v>
      </c>
      <c r="B949" s="301" t="s">
        <v>1527</v>
      </c>
      <c r="C949" s="302"/>
      <c r="D949" s="303">
        <f t="shared" ref="D949:L949" si="736">D950</f>
        <v>1119</v>
      </c>
      <c r="E949" s="304">
        <f t="shared" si="736"/>
        <v>0</v>
      </c>
      <c r="F949" s="305">
        <f t="shared" si="736"/>
        <v>0</v>
      </c>
      <c r="G949" s="303">
        <f t="shared" si="736"/>
        <v>0</v>
      </c>
      <c r="H949" s="304">
        <f t="shared" si="736"/>
        <v>0</v>
      </c>
      <c r="I949" s="327">
        <f t="shared" si="736"/>
        <v>1119</v>
      </c>
      <c r="J949" s="303">
        <f t="shared" si="736"/>
        <v>1119</v>
      </c>
      <c r="K949" s="304">
        <f t="shared" si="736"/>
        <v>0</v>
      </c>
      <c r="L949" s="305">
        <f t="shared" si="736"/>
        <v>0</v>
      </c>
      <c r="M949" s="328" t="s">
        <v>291</v>
      </c>
    </row>
    <row r="950" s="263" customFormat="1" ht="36" customHeight="1" spans="1:13">
      <c r="A950" s="306" t="s">
        <v>298</v>
      </c>
      <c r="B950" s="307" t="s">
        <v>298</v>
      </c>
      <c r="C950" s="308"/>
      <c r="D950" s="309">
        <f>E950+I950</f>
        <v>1119</v>
      </c>
      <c r="E950" s="310">
        <f>SUBTOTAL(9,F950:H950)</f>
        <v>0</v>
      </c>
      <c r="F950" s="311">
        <v>0</v>
      </c>
      <c r="G950" s="309">
        <v>0</v>
      </c>
      <c r="H950" s="310">
        <v>0</v>
      </c>
      <c r="I950" s="329">
        <f>SUBTOTAL(9,J950:L950)</f>
        <v>1119</v>
      </c>
      <c r="J950" s="309">
        <f>1109+10</f>
        <v>1119</v>
      </c>
      <c r="K950" s="310">
        <v>0</v>
      </c>
      <c r="L950" s="311">
        <v>0</v>
      </c>
      <c r="M950" s="330" t="s">
        <v>1528</v>
      </c>
    </row>
    <row r="951" s="263" customFormat="1" ht="22" customHeight="1" spans="1:13">
      <c r="A951" s="288" t="s">
        <v>1529</v>
      </c>
      <c r="B951" s="289" t="s">
        <v>1530</v>
      </c>
      <c r="C951" s="290"/>
      <c r="D951" s="291">
        <f t="shared" ref="D951:L951" si="737">D952+D965</f>
        <v>700.6683</v>
      </c>
      <c r="E951" s="292">
        <f t="shared" si="737"/>
        <v>451.4983</v>
      </c>
      <c r="F951" s="293">
        <f t="shared" si="737"/>
        <v>401.4116</v>
      </c>
      <c r="G951" s="291">
        <f t="shared" si="737"/>
        <v>29.358</v>
      </c>
      <c r="H951" s="292">
        <f t="shared" si="737"/>
        <v>20.7287</v>
      </c>
      <c r="I951" s="323">
        <f t="shared" si="737"/>
        <v>249.17</v>
      </c>
      <c r="J951" s="291">
        <f t="shared" si="737"/>
        <v>249.17</v>
      </c>
      <c r="K951" s="292">
        <f t="shared" si="737"/>
        <v>0</v>
      </c>
      <c r="L951" s="293">
        <f t="shared" si="737"/>
        <v>0</v>
      </c>
      <c r="M951" s="324" t="s">
        <v>291</v>
      </c>
    </row>
    <row r="952" s="263" customFormat="1" ht="18.75" customHeight="1" spans="1:13">
      <c r="A952" s="294" t="s">
        <v>1531</v>
      </c>
      <c r="B952" s="295" t="s">
        <v>1532</v>
      </c>
      <c r="C952" s="296"/>
      <c r="D952" s="297">
        <f t="shared" ref="D952:L952" si="738">D953+D955+D957+D959+D961+D963</f>
        <v>667.9683</v>
      </c>
      <c r="E952" s="298">
        <f t="shared" si="738"/>
        <v>451.4983</v>
      </c>
      <c r="F952" s="299">
        <f t="shared" si="738"/>
        <v>401.4116</v>
      </c>
      <c r="G952" s="297">
        <f t="shared" si="738"/>
        <v>29.358</v>
      </c>
      <c r="H952" s="298">
        <f t="shared" si="738"/>
        <v>20.7287</v>
      </c>
      <c r="I952" s="325">
        <f t="shared" si="738"/>
        <v>216.47</v>
      </c>
      <c r="J952" s="297">
        <f t="shared" si="738"/>
        <v>216.47</v>
      </c>
      <c r="K952" s="298">
        <f t="shared" si="738"/>
        <v>0</v>
      </c>
      <c r="L952" s="299">
        <f t="shared" si="738"/>
        <v>0</v>
      </c>
      <c r="M952" s="326" t="s">
        <v>291</v>
      </c>
    </row>
    <row r="953" s="263" customFormat="1" ht="22" customHeight="1" spans="1:13">
      <c r="A953" s="300" t="s">
        <v>1533</v>
      </c>
      <c r="B953" s="301" t="s">
        <v>1534</v>
      </c>
      <c r="C953" s="302"/>
      <c r="D953" s="303">
        <f t="shared" ref="D953:L953" si="739">D954</f>
        <v>249.6925</v>
      </c>
      <c r="E953" s="304">
        <f t="shared" si="739"/>
        <v>249.6925</v>
      </c>
      <c r="F953" s="305">
        <f t="shared" si="739"/>
        <v>214.2578</v>
      </c>
      <c r="G953" s="303">
        <f t="shared" si="739"/>
        <v>14.754</v>
      </c>
      <c r="H953" s="304">
        <f t="shared" si="739"/>
        <v>20.6807</v>
      </c>
      <c r="I953" s="327">
        <f t="shared" si="739"/>
        <v>0</v>
      </c>
      <c r="J953" s="303">
        <f t="shared" si="739"/>
        <v>0</v>
      </c>
      <c r="K953" s="304">
        <f t="shared" si="739"/>
        <v>0</v>
      </c>
      <c r="L953" s="305">
        <f t="shared" si="739"/>
        <v>0</v>
      </c>
      <c r="M953" s="328" t="s">
        <v>291</v>
      </c>
    </row>
    <row r="954" s="263" customFormat="1" ht="18.75" customHeight="1" spans="1:13">
      <c r="A954" s="306" t="s">
        <v>298</v>
      </c>
      <c r="B954" s="307" t="s">
        <v>298</v>
      </c>
      <c r="C954" s="308" t="s">
        <v>549</v>
      </c>
      <c r="D954" s="309">
        <f t="shared" ref="D954:D958" si="740">E954+I954</f>
        <v>249.6925</v>
      </c>
      <c r="E954" s="310">
        <f t="shared" ref="E954:E958" si="741">SUBTOTAL(9,F954:H954)</f>
        <v>249.6925</v>
      </c>
      <c r="F954" s="311">
        <f>155.5578+58.7</f>
        <v>214.2578</v>
      </c>
      <c r="G954" s="309">
        <f>11.754+3</f>
        <v>14.754</v>
      </c>
      <c r="H954" s="310">
        <v>20.6807</v>
      </c>
      <c r="I954" s="329">
        <f t="shared" ref="I954:I958" si="742">SUBTOTAL(9,J954:L954)</f>
        <v>0</v>
      </c>
      <c r="J954" s="309">
        <v>0</v>
      </c>
      <c r="K954" s="310">
        <v>0</v>
      </c>
      <c r="L954" s="311">
        <v>0</v>
      </c>
      <c r="M954" s="330" t="s">
        <v>291</v>
      </c>
    </row>
    <row r="955" s="263" customFormat="1" ht="22" customHeight="1" spans="1:13">
      <c r="A955" s="300" t="s">
        <v>1535</v>
      </c>
      <c r="B955" s="301" t="s">
        <v>1536</v>
      </c>
      <c r="C955" s="302"/>
      <c r="D955" s="303">
        <f t="shared" ref="D955:L955" si="743">D956</f>
        <v>16</v>
      </c>
      <c r="E955" s="304">
        <f t="shared" si="743"/>
        <v>0</v>
      </c>
      <c r="F955" s="305">
        <f t="shared" si="743"/>
        <v>0</v>
      </c>
      <c r="G955" s="303">
        <f t="shared" si="743"/>
        <v>0</v>
      </c>
      <c r="H955" s="304">
        <f t="shared" si="743"/>
        <v>0</v>
      </c>
      <c r="I955" s="327">
        <f t="shared" si="743"/>
        <v>16</v>
      </c>
      <c r="J955" s="303">
        <f t="shared" si="743"/>
        <v>16</v>
      </c>
      <c r="K955" s="304">
        <f t="shared" si="743"/>
        <v>0</v>
      </c>
      <c r="L955" s="305">
        <f t="shared" si="743"/>
        <v>0</v>
      </c>
      <c r="M955" s="328" t="s">
        <v>291</v>
      </c>
    </row>
    <row r="956" s="263" customFormat="1" ht="24" customHeight="1" spans="1:13">
      <c r="A956" s="306" t="s">
        <v>298</v>
      </c>
      <c r="B956" s="307" t="s">
        <v>298</v>
      </c>
      <c r="C956" s="308" t="s">
        <v>549</v>
      </c>
      <c r="D956" s="309">
        <f t="shared" si="740"/>
        <v>16</v>
      </c>
      <c r="E956" s="310">
        <f t="shared" si="741"/>
        <v>0</v>
      </c>
      <c r="F956" s="311">
        <v>0</v>
      </c>
      <c r="G956" s="309">
        <v>0</v>
      </c>
      <c r="H956" s="310">
        <v>0</v>
      </c>
      <c r="I956" s="329">
        <f t="shared" si="742"/>
        <v>16</v>
      </c>
      <c r="J956" s="309">
        <v>16</v>
      </c>
      <c r="K956" s="310">
        <v>0</v>
      </c>
      <c r="L956" s="311">
        <v>0</v>
      </c>
      <c r="M956" s="330" t="s">
        <v>1537</v>
      </c>
    </row>
    <row r="957" s="263" customFormat="1" ht="22" customHeight="1" spans="1:13">
      <c r="A957" s="300" t="s">
        <v>1538</v>
      </c>
      <c r="B957" s="301" t="s">
        <v>1539</v>
      </c>
      <c r="C957" s="302"/>
      <c r="D957" s="303">
        <f t="shared" ref="D957:L957" si="744">D958</f>
        <v>17.6</v>
      </c>
      <c r="E957" s="304">
        <f t="shared" si="744"/>
        <v>0</v>
      </c>
      <c r="F957" s="305">
        <f t="shared" si="744"/>
        <v>0</v>
      </c>
      <c r="G957" s="303">
        <f t="shared" si="744"/>
        <v>0</v>
      </c>
      <c r="H957" s="304">
        <f t="shared" si="744"/>
        <v>0</v>
      </c>
      <c r="I957" s="327">
        <f t="shared" si="744"/>
        <v>17.6</v>
      </c>
      <c r="J957" s="303">
        <f t="shared" si="744"/>
        <v>17.6</v>
      </c>
      <c r="K957" s="304">
        <f t="shared" si="744"/>
        <v>0</v>
      </c>
      <c r="L957" s="305">
        <f t="shared" si="744"/>
        <v>0</v>
      </c>
      <c r="M957" s="328" t="s">
        <v>291</v>
      </c>
    </row>
    <row r="958" s="263" customFormat="1" ht="18.75" customHeight="1" spans="1:13">
      <c r="A958" s="306" t="s">
        <v>298</v>
      </c>
      <c r="B958" s="307" t="s">
        <v>298</v>
      </c>
      <c r="C958" s="308" t="s">
        <v>549</v>
      </c>
      <c r="D958" s="309">
        <f t="shared" si="740"/>
        <v>17.6</v>
      </c>
      <c r="E958" s="310">
        <f t="shared" si="741"/>
        <v>0</v>
      </c>
      <c r="F958" s="311">
        <v>0</v>
      </c>
      <c r="G958" s="309">
        <v>0</v>
      </c>
      <c r="H958" s="310">
        <v>0</v>
      </c>
      <c r="I958" s="329">
        <f t="shared" si="742"/>
        <v>17.6</v>
      </c>
      <c r="J958" s="309">
        <v>17.6</v>
      </c>
      <c r="K958" s="310">
        <v>0</v>
      </c>
      <c r="L958" s="311">
        <v>0</v>
      </c>
      <c r="M958" s="330" t="s">
        <v>1540</v>
      </c>
    </row>
    <row r="959" s="263" customFormat="1" ht="22" customHeight="1" spans="1:13">
      <c r="A959" s="300" t="s">
        <v>1541</v>
      </c>
      <c r="B959" s="301" t="s">
        <v>1542</v>
      </c>
      <c r="C959" s="302"/>
      <c r="D959" s="303">
        <f t="shared" ref="D959:L959" si="745">D960</f>
        <v>8</v>
      </c>
      <c r="E959" s="304">
        <f t="shared" si="745"/>
        <v>0</v>
      </c>
      <c r="F959" s="305">
        <f t="shared" si="745"/>
        <v>0</v>
      </c>
      <c r="G959" s="303">
        <f t="shared" si="745"/>
        <v>0</v>
      </c>
      <c r="H959" s="304">
        <f t="shared" si="745"/>
        <v>0</v>
      </c>
      <c r="I959" s="327">
        <f t="shared" si="745"/>
        <v>8</v>
      </c>
      <c r="J959" s="303">
        <f t="shared" si="745"/>
        <v>8</v>
      </c>
      <c r="K959" s="304">
        <f t="shared" si="745"/>
        <v>0</v>
      </c>
      <c r="L959" s="305">
        <f t="shared" si="745"/>
        <v>0</v>
      </c>
      <c r="M959" s="328" t="s">
        <v>291</v>
      </c>
    </row>
    <row r="960" s="263" customFormat="1" ht="23" customHeight="1" spans="1:13">
      <c r="A960" s="306" t="s">
        <v>298</v>
      </c>
      <c r="B960" s="307" t="s">
        <v>298</v>
      </c>
      <c r="C960" s="308" t="s">
        <v>549</v>
      </c>
      <c r="D960" s="309">
        <f t="shared" ref="D960:D964" si="746">E960+I960</f>
        <v>8</v>
      </c>
      <c r="E960" s="310">
        <f t="shared" ref="E960:E964" si="747">SUBTOTAL(9,F960:H960)</f>
        <v>0</v>
      </c>
      <c r="F960" s="311">
        <v>0</v>
      </c>
      <c r="G960" s="309">
        <v>0</v>
      </c>
      <c r="H960" s="310">
        <v>0</v>
      </c>
      <c r="I960" s="329">
        <f t="shared" ref="I960:I964" si="748">SUBTOTAL(9,J960:L960)</f>
        <v>8</v>
      </c>
      <c r="J960" s="309">
        <v>8</v>
      </c>
      <c r="K960" s="310">
        <v>0</v>
      </c>
      <c r="L960" s="311">
        <v>0</v>
      </c>
      <c r="M960" s="330" t="s">
        <v>1543</v>
      </c>
    </row>
    <row r="961" s="263" customFormat="1" ht="22" customHeight="1" spans="1:13">
      <c r="A961" s="300" t="s">
        <v>1544</v>
      </c>
      <c r="B961" s="301" t="s">
        <v>1545</v>
      </c>
      <c r="C961" s="302"/>
      <c r="D961" s="303">
        <f t="shared" ref="D961:L961" si="749">D962</f>
        <v>201.8058</v>
      </c>
      <c r="E961" s="304">
        <f t="shared" si="749"/>
        <v>201.8058</v>
      </c>
      <c r="F961" s="305">
        <f t="shared" si="749"/>
        <v>187.1538</v>
      </c>
      <c r="G961" s="303">
        <f t="shared" si="749"/>
        <v>14.604</v>
      </c>
      <c r="H961" s="304">
        <f t="shared" si="749"/>
        <v>0.048</v>
      </c>
      <c r="I961" s="327">
        <f t="shared" si="749"/>
        <v>0</v>
      </c>
      <c r="J961" s="303">
        <f t="shared" si="749"/>
        <v>0</v>
      </c>
      <c r="K961" s="304">
        <f t="shared" si="749"/>
        <v>0</v>
      </c>
      <c r="L961" s="305">
        <f t="shared" si="749"/>
        <v>0</v>
      </c>
      <c r="M961" s="328" t="s">
        <v>291</v>
      </c>
    </row>
    <row r="962" s="263" customFormat="1" ht="18.75" customHeight="1" spans="1:13">
      <c r="A962" s="306" t="s">
        <v>298</v>
      </c>
      <c r="B962" s="307" t="s">
        <v>298</v>
      </c>
      <c r="C962" s="308" t="s">
        <v>549</v>
      </c>
      <c r="D962" s="309">
        <f t="shared" si="746"/>
        <v>201.8058</v>
      </c>
      <c r="E962" s="310">
        <f t="shared" si="747"/>
        <v>201.8058</v>
      </c>
      <c r="F962" s="311">
        <v>187.1538</v>
      </c>
      <c r="G962" s="309">
        <v>14.604</v>
      </c>
      <c r="H962" s="310">
        <v>0.048</v>
      </c>
      <c r="I962" s="329">
        <f t="shared" si="748"/>
        <v>0</v>
      </c>
      <c r="J962" s="309">
        <v>0</v>
      </c>
      <c r="K962" s="310">
        <v>0</v>
      </c>
      <c r="L962" s="311">
        <v>0</v>
      </c>
      <c r="M962" s="330" t="s">
        <v>291</v>
      </c>
    </row>
    <row r="963" s="263" customFormat="1" ht="27" customHeight="1" spans="1:13">
      <c r="A963" s="300" t="s">
        <v>1546</v>
      </c>
      <c r="B963" s="301" t="s">
        <v>1547</v>
      </c>
      <c r="C963" s="302"/>
      <c r="D963" s="303">
        <f t="shared" ref="D963:L963" si="750">D964</f>
        <v>174.87</v>
      </c>
      <c r="E963" s="304">
        <f t="shared" si="750"/>
        <v>0</v>
      </c>
      <c r="F963" s="305">
        <f t="shared" si="750"/>
        <v>0</v>
      </c>
      <c r="G963" s="303">
        <f t="shared" si="750"/>
        <v>0</v>
      </c>
      <c r="H963" s="304">
        <f t="shared" si="750"/>
        <v>0</v>
      </c>
      <c r="I963" s="327">
        <f t="shared" si="750"/>
        <v>174.87</v>
      </c>
      <c r="J963" s="303">
        <f t="shared" si="750"/>
        <v>174.87</v>
      </c>
      <c r="K963" s="304">
        <f t="shared" si="750"/>
        <v>0</v>
      </c>
      <c r="L963" s="305">
        <f t="shared" si="750"/>
        <v>0</v>
      </c>
      <c r="M963" s="328" t="s">
        <v>291</v>
      </c>
    </row>
    <row r="964" s="263" customFormat="1" ht="37" customHeight="1" spans="1:13">
      <c r="A964" s="306" t="s">
        <v>298</v>
      </c>
      <c r="B964" s="307" t="s">
        <v>298</v>
      </c>
      <c r="C964" s="308" t="s">
        <v>549</v>
      </c>
      <c r="D964" s="309">
        <f t="shared" si="746"/>
        <v>174.87</v>
      </c>
      <c r="E964" s="310">
        <f t="shared" si="747"/>
        <v>0</v>
      </c>
      <c r="F964" s="311">
        <v>0</v>
      </c>
      <c r="G964" s="309">
        <v>0</v>
      </c>
      <c r="H964" s="310">
        <v>0</v>
      </c>
      <c r="I964" s="329">
        <f t="shared" si="748"/>
        <v>174.87</v>
      </c>
      <c r="J964" s="309">
        <v>174.87</v>
      </c>
      <c r="K964" s="310">
        <v>0</v>
      </c>
      <c r="L964" s="311">
        <v>0</v>
      </c>
      <c r="M964" s="330" t="s">
        <v>1548</v>
      </c>
    </row>
    <row r="965" s="263" customFormat="1" ht="18.75" customHeight="1" spans="1:13">
      <c r="A965" s="294" t="s">
        <v>1549</v>
      </c>
      <c r="B965" s="295" t="s">
        <v>1550</v>
      </c>
      <c r="C965" s="296"/>
      <c r="D965" s="297">
        <f t="shared" ref="D965:L965" si="751">D966</f>
        <v>32.7</v>
      </c>
      <c r="E965" s="298">
        <f t="shared" si="751"/>
        <v>0</v>
      </c>
      <c r="F965" s="299">
        <f t="shared" si="751"/>
        <v>0</v>
      </c>
      <c r="G965" s="297">
        <f t="shared" si="751"/>
        <v>0</v>
      </c>
      <c r="H965" s="298">
        <f t="shared" si="751"/>
        <v>0</v>
      </c>
      <c r="I965" s="325">
        <f t="shared" si="751"/>
        <v>32.7</v>
      </c>
      <c r="J965" s="297">
        <f t="shared" si="751"/>
        <v>32.7</v>
      </c>
      <c r="K965" s="298">
        <f t="shared" si="751"/>
        <v>0</v>
      </c>
      <c r="L965" s="299">
        <f t="shared" si="751"/>
        <v>0</v>
      </c>
      <c r="M965" s="326" t="s">
        <v>291</v>
      </c>
    </row>
    <row r="966" s="263" customFormat="1" ht="22" customHeight="1" spans="1:13">
      <c r="A966" s="300" t="s">
        <v>1551</v>
      </c>
      <c r="B966" s="301" t="s">
        <v>1552</v>
      </c>
      <c r="C966" s="302"/>
      <c r="D966" s="303">
        <f t="shared" ref="D966:L966" si="752">D967</f>
        <v>32.7</v>
      </c>
      <c r="E966" s="304">
        <f t="shared" si="752"/>
        <v>0</v>
      </c>
      <c r="F966" s="305">
        <f t="shared" si="752"/>
        <v>0</v>
      </c>
      <c r="G966" s="303">
        <f t="shared" si="752"/>
        <v>0</v>
      </c>
      <c r="H966" s="304">
        <f t="shared" si="752"/>
        <v>0</v>
      </c>
      <c r="I966" s="327">
        <f t="shared" si="752"/>
        <v>32.7</v>
      </c>
      <c r="J966" s="303">
        <f t="shared" si="752"/>
        <v>32.7</v>
      </c>
      <c r="K966" s="304">
        <f t="shared" si="752"/>
        <v>0</v>
      </c>
      <c r="L966" s="305">
        <f t="shared" si="752"/>
        <v>0</v>
      </c>
      <c r="M966" s="328" t="s">
        <v>291</v>
      </c>
    </row>
    <row r="967" s="263" customFormat="1" ht="34" customHeight="1" spans="1:13">
      <c r="A967" s="306" t="s">
        <v>298</v>
      </c>
      <c r="B967" s="307" t="s">
        <v>298</v>
      </c>
      <c r="C967" s="308" t="s">
        <v>1553</v>
      </c>
      <c r="D967" s="309">
        <f>E967+I967</f>
        <v>32.7</v>
      </c>
      <c r="E967" s="310">
        <f>SUBTOTAL(9,F967:H967)</f>
        <v>0</v>
      </c>
      <c r="F967" s="311">
        <v>0</v>
      </c>
      <c r="G967" s="309">
        <v>0</v>
      </c>
      <c r="H967" s="310">
        <v>0</v>
      </c>
      <c r="I967" s="329">
        <f>SUBTOTAL(9,J967:L967)</f>
        <v>32.7</v>
      </c>
      <c r="J967" s="309">
        <v>32.7</v>
      </c>
      <c r="K967" s="310">
        <v>0</v>
      </c>
      <c r="L967" s="311">
        <v>0</v>
      </c>
      <c r="M967" s="330" t="s">
        <v>1554</v>
      </c>
    </row>
    <row r="968" s="263" customFormat="1" ht="18.75" customHeight="1" spans="1:13">
      <c r="A968" s="288" t="s">
        <v>1555</v>
      </c>
      <c r="B968" s="289" t="s">
        <v>1556</v>
      </c>
      <c r="C968" s="290"/>
      <c r="D968" s="291">
        <f t="shared" ref="D968:L968" si="753">D969+D972+D1052</f>
        <v>10269.3231</v>
      </c>
      <c r="E968" s="292">
        <f t="shared" si="753"/>
        <v>8283.4431</v>
      </c>
      <c r="F968" s="293">
        <f t="shared" si="753"/>
        <v>8277.8494</v>
      </c>
      <c r="G968" s="291">
        <f t="shared" si="753"/>
        <v>1.44</v>
      </c>
      <c r="H968" s="292">
        <f t="shared" si="753"/>
        <v>4.1537</v>
      </c>
      <c r="I968" s="323">
        <f t="shared" si="753"/>
        <v>1985.88</v>
      </c>
      <c r="J968" s="291">
        <f t="shared" si="753"/>
        <v>5.88</v>
      </c>
      <c r="K968" s="292">
        <f t="shared" si="753"/>
        <v>0</v>
      </c>
      <c r="L968" s="293">
        <f t="shared" si="753"/>
        <v>1980</v>
      </c>
      <c r="M968" s="324" t="s">
        <v>291</v>
      </c>
    </row>
    <row r="969" s="263" customFormat="1" ht="18.75" customHeight="1" spans="1:13">
      <c r="A969" s="294" t="s">
        <v>1557</v>
      </c>
      <c r="B969" s="295" t="s">
        <v>1558</v>
      </c>
      <c r="C969" s="296"/>
      <c r="D969" s="297">
        <f t="shared" ref="D969:L969" si="754">D970</f>
        <v>1980</v>
      </c>
      <c r="E969" s="298">
        <f t="shared" si="754"/>
        <v>0</v>
      </c>
      <c r="F969" s="299">
        <f t="shared" si="754"/>
        <v>0</v>
      </c>
      <c r="G969" s="297">
        <f t="shared" si="754"/>
        <v>0</v>
      </c>
      <c r="H969" s="298">
        <f t="shared" si="754"/>
        <v>0</v>
      </c>
      <c r="I969" s="325">
        <f t="shared" si="754"/>
        <v>1980</v>
      </c>
      <c r="J969" s="297">
        <f t="shared" si="754"/>
        <v>0</v>
      </c>
      <c r="K969" s="298">
        <f t="shared" si="754"/>
        <v>0</v>
      </c>
      <c r="L969" s="299">
        <f t="shared" si="754"/>
        <v>1980</v>
      </c>
      <c r="M969" s="326" t="s">
        <v>291</v>
      </c>
    </row>
    <row r="970" s="263" customFormat="1" ht="22" customHeight="1" spans="1:13">
      <c r="A970" s="300" t="s">
        <v>1559</v>
      </c>
      <c r="B970" s="301" t="s">
        <v>1560</v>
      </c>
      <c r="C970" s="302"/>
      <c r="D970" s="303">
        <f t="shared" ref="D970:L970" si="755">D971</f>
        <v>1980</v>
      </c>
      <c r="E970" s="304">
        <f t="shared" si="755"/>
        <v>0</v>
      </c>
      <c r="F970" s="305">
        <f t="shared" si="755"/>
        <v>0</v>
      </c>
      <c r="G970" s="303">
        <f t="shared" si="755"/>
        <v>0</v>
      </c>
      <c r="H970" s="304">
        <f t="shared" si="755"/>
        <v>0</v>
      </c>
      <c r="I970" s="327">
        <f t="shared" si="755"/>
        <v>1980</v>
      </c>
      <c r="J970" s="303">
        <f t="shared" si="755"/>
        <v>0</v>
      </c>
      <c r="K970" s="304">
        <f t="shared" si="755"/>
        <v>0</v>
      </c>
      <c r="L970" s="305">
        <f t="shared" si="755"/>
        <v>1980</v>
      </c>
      <c r="M970" s="328" t="s">
        <v>291</v>
      </c>
    </row>
    <row r="971" s="263" customFormat="1" ht="27" customHeight="1" spans="1:13">
      <c r="A971" s="306" t="s">
        <v>298</v>
      </c>
      <c r="B971" s="307" t="s">
        <v>298</v>
      </c>
      <c r="C971" s="308" t="s">
        <v>546</v>
      </c>
      <c r="D971" s="309">
        <f t="shared" ref="D971:D1036" si="756">E971+I971</f>
        <v>1980</v>
      </c>
      <c r="E971" s="310">
        <f t="shared" ref="E971:E1036" si="757">SUBTOTAL(9,F971:H971)</f>
        <v>0</v>
      </c>
      <c r="F971" s="311">
        <v>0</v>
      </c>
      <c r="G971" s="309">
        <v>0</v>
      </c>
      <c r="H971" s="310">
        <v>0</v>
      </c>
      <c r="I971" s="329">
        <f t="shared" ref="I971:I1036" si="758">SUBTOTAL(9,J971:L971)</f>
        <v>1980</v>
      </c>
      <c r="J971" s="309">
        <v>0</v>
      </c>
      <c r="K971" s="310">
        <v>0</v>
      </c>
      <c r="L971" s="311">
        <v>1980</v>
      </c>
      <c r="M971" s="330" t="s">
        <v>1561</v>
      </c>
    </row>
    <row r="972" s="263" customFormat="1" ht="18.75" customHeight="1" spans="1:13">
      <c r="A972" s="294" t="s">
        <v>1562</v>
      </c>
      <c r="B972" s="295" t="s">
        <v>1563</v>
      </c>
      <c r="C972" s="296"/>
      <c r="D972" s="297">
        <f t="shared" ref="D972:L972" si="759">D973</f>
        <v>8227.3677</v>
      </c>
      <c r="E972" s="298">
        <f t="shared" si="759"/>
        <v>8227.3677</v>
      </c>
      <c r="F972" s="299">
        <f t="shared" si="759"/>
        <v>8227.3677</v>
      </c>
      <c r="G972" s="297">
        <f t="shared" si="759"/>
        <v>0</v>
      </c>
      <c r="H972" s="298">
        <f t="shared" si="759"/>
        <v>0</v>
      </c>
      <c r="I972" s="325">
        <f t="shared" si="759"/>
        <v>0</v>
      </c>
      <c r="J972" s="297">
        <f t="shared" si="759"/>
        <v>0</v>
      </c>
      <c r="K972" s="298">
        <f t="shared" si="759"/>
        <v>0</v>
      </c>
      <c r="L972" s="299">
        <f t="shared" si="759"/>
        <v>0</v>
      </c>
      <c r="M972" s="326" t="s">
        <v>291</v>
      </c>
    </row>
    <row r="973" s="263" customFormat="1" ht="22" customHeight="1" spans="1:13">
      <c r="A973" s="300" t="s">
        <v>1564</v>
      </c>
      <c r="B973" s="301" t="s">
        <v>1565</v>
      </c>
      <c r="C973" s="302"/>
      <c r="D973" s="303">
        <f t="shared" ref="D973:L973" si="760">SUM(D974:D1051)</f>
        <v>8227.3677</v>
      </c>
      <c r="E973" s="304">
        <f t="shared" si="760"/>
        <v>8227.3677</v>
      </c>
      <c r="F973" s="305">
        <f t="shared" si="760"/>
        <v>8227.3677</v>
      </c>
      <c r="G973" s="303">
        <f t="shared" si="760"/>
        <v>0</v>
      </c>
      <c r="H973" s="304">
        <f t="shared" si="760"/>
        <v>0</v>
      </c>
      <c r="I973" s="327">
        <f t="shared" si="760"/>
        <v>0</v>
      </c>
      <c r="J973" s="303">
        <f t="shared" si="760"/>
        <v>0</v>
      </c>
      <c r="K973" s="304">
        <f t="shared" si="760"/>
        <v>0</v>
      </c>
      <c r="L973" s="305">
        <f t="shared" si="760"/>
        <v>0</v>
      </c>
      <c r="M973" s="328" t="s">
        <v>291</v>
      </c>
    </row>
    <row r="974" s="263" customFormat="1" ht="18.75" customHeight="1" spans="1:13">
      <c r="A974" s="306" t="s">
        <v>298</v>
      </c>
      <c r="B974" s="307" t="s">
        <v>298</v>
      </c>
      <c r="C974" s="308" t="s">
        <v>528</v>
      </c>
      <c r="D974" s="309">
        <f t="shared" si="756"/>
        <v>35.3018</v>
      </c>
      <c r="E974" s="310">
        <f t="shared" si="757"/>
        <v>35.3018</v>
      </c>
      <c r="F974" s="311">
        <v>35.3018</v>
      </c>
      <c r="G974" s="309">
        <v>0</v>
      </c>
      <c r="H974" s="310">
        <v>0</v>
      </c>
      <c r="I974" s="329">
        <f t="shared" si="758"/>
        <v>0</v>
      </c>
      <c r="J974" s="309">
        <v>0</v>
      </c>
      <c r="K974" s="310">
        <v>0</v>
      </c>
      <c r="L974" s="311">
        <v>0</v>
      </c>
      <c r="M974" s="330" t="s">
        <v>291</v>
      </c>
    </row>
    <row r="975" s="263" customFormat="1" ht="18.75" customHeight="1" spans="1:13">
      <c r="A975" s="306" t="s">
        <v>298</v>
      </c>
      <c r="B975" s="307" t="s">
        <v>298</v>
      </c>
      <c r="C975" s="308" t="s">
        <v>348</v>
      </c>
      <c r="D975" s="309">
        <f t="shared" si="756"/>
        <v>35.0541</v>
      </c>
      <c r="E975" s="310">
        <f t="shared" si="757"/>
        <v>35.0541</v>
      </c>
      <c r="F975" s="311">
        <v>35.0541</v>
      </c>
      <c r="G975" s="309">
        <v>0</v>
      </c>
      <c r="H975" s="310">
        <v>0</v>
      </c>
      <c r="I975" s="329">
        <f t="shared" si="758"/>
        <v>0</v>
      </c>
      <c r="J975" s="309">
        <v>0</v>
      </c>
      <c r="K975" s="310">
        <v>0</v>
      </c>
      <c r="L975" s="311">
        <v>0</v>
      </c>
      <c r="M975" s="330" t="s">
        <v>291</v>
      </c>
    </row>
    <row r="976" s="263" customFormat="1" ht="18.75" customHeight="1" spans="1:13">
      <c r="A976" s="306" t="s">
        <v>298</v>
      </c>
      <c r="B976" s="307" t="s">
        <v>298</v>
      </c>
      <c r="C976" s="308" t="s">
        <v>299</v>
      </c>
      <c r="D976" s="309">
        <f t="shared" si="756"/>
        <v>36.203</v>
      </c>
      <c r="E976" s="310">
        <f t="shared" si="757"/>
        <v>36.203</v>
      </c>
      <c r="F976" s="311">
        <v>36.203</v>
      </c>
      <c r="G976" s="309">
        <v>0</v>
      </c>
      <c r="H976" s="310">
        <v>0</v>
      </c>
      <c r="I976" s="329">
        <f t="shared" si="758"/>
        <v>0</v>
      </c>
      <c r="J976" s="309">
        <v>0</v>
      </c>
      <c r="K976" s="310">
        <v>0</v>
      </c>
      <c r="L976" s="311">
        <v>0</v>
      </c>
      <c r="M976" s="330" t="s">
        <v>291</v>
      </c>
    </row>
    <row r="977" s="263" customFormat="1" ht="18.75" customHeight="1" spans="1:13">
      <c r="A977" s="306" t="s">
        <v>298</v>
      </c>
      <c r="B977" s="307" t="s">
        <v>298</v>
      </c>
      <c r="C977" s="308" t="s">
        <v>327</v>
      </c>
      <c r="D977" s="309">
        <f t="shared" si="756"/>
        <v>25.8076</v>
      </c>
      <c r="E977" s="310">
        <f t="shared" si="757"/>
        <v>25.8076</v>
      </c>
      <c r="F977" s="311">
        <v>25.8076</v>
      </c>
      <c r="G977" s="309">
        <v>0</v>
      </c>
      <c r="H977" s="310">
        <v>0</v>
      </c>
      <c r="I977" s="329">
        <f t="shared" si="758"/>
        <v>0</v>
      </c>
      <c r="J977" s="309">
        <v>0</v>
      </c>
      <c r="K977" s="310">
        <v>0</v>
      </c>
      <c r="L977" s="311">
        <v>0</v>
      </c>
      <c r="M977" s="330" t="s">
        <v>291</v>
      </c>
    </row>
    <row r="978" s="263" customFormat="1" ht="15" customHeight="1" spans="1:13">
      <c r="A978" s="306" t="s">
        <v>298</v>
      </c>
      <c r="B978" s="307" t="s">
        <v>298</v>
      </c>
      <c r="C978" s="308" t="s">
        <v>529</v>
      </c>
      <c r="D978" s="309">
        <f t="shared" si="756"/>
        <v>44.4431</v>
      </c>
      <c r="E978" s="310">
        <f t="shared" si="757"/>
        <v>44.4431</v>
      </c>
      <c r="F978" s="311">
        <v>44.4431</v>
      </c>
      <c r="G978" s="309">
        <v>0</v>
      </c>
      <c r="H978" s="310">
        <v>0</v>
      </c>
      <c r="I978" s="329">
        <f t="shared" si="758"/>
        <v>0</v>
      </c>
      <c r="J978" s="309">
        <v>0</v>
      </c>
      <c r="K978" s="310">
        <v>0</v>
      </c>
      <c r="L978" s="311">
        <v>0</v>
      </c>
      <c r="M978" s="330" t="s">
        <v>291</v>
      </c>
    </row>
    <row r="979" s="263" customFormat="1" ht="18.75" customHeight="1" spans="1:13">
      <c r="A979" s="306" t="s">
        <v>298</v>
      </c>
      <c r="B979" s="307" t="s">
        <v>298</v>
      </c>
      <c r="C979" s="308" t="s">
        <v>452</v>
      </c>
      <c r="D979" s="309">
        <f t="shared" si="756"/>
        <v>89.8565</v>
      </c>
      <c r="E979" s="310">
        <f t="shared" si="757"/>
        <v>89.8565</v>
      </c>
      <c r="F979" s="311">
        <v>89.8565</v>
      </c>
      <c r="G979" s="309">
        <v>0</v>
      </c>
      <c r="H979" s="310">
        <v>0</v>
      </c>
      <c r="I979" s="329">
        <f t="shared" si="758"/>
        <v>0</v>
      </c>
      <c r="J979" s="309">
        <v>0</v>
      </c>
      <c r="K979" s="310">
        <v>0</v>
      </c>
      <c r="L979" s="311">
        <v>0</v>
      </c>
      <c r="M979" s="330" t="s">
        <v>291</v>
      </c>
    </row>
    <row r="980" s="263" customFormat="1" ht="18.75" customHeight="1" spans="1:13">
      <c r="A980" s="306" t="s">
        <v>298</v>
      </c>
      <c r="B980" s="307" t="s">
        <v>298</v>
      </c>
      <c r="C980" s="308" t="s">
        <v>492</v>
      </c>
      <c r="D980" s="309">
        <f t="shared" si="756"/>
        <v>9.0769</v>
      </c>
      <c r="E980" s="310">
        <f t="shared" si="757"/>
        <v>9.0769</v>
      </c>
      <c r="F980" s="311">
        <v>9.0769</v>
      </c>
      <c r="G980" s="309">
        <v>0</v>
      </c>
      <c r="H980" s="310">
        <v>0</v>
      </c>
      <c r="I980" s="329">
        <f t="shared" si="758"/>
        <v>0</v>
      </c>
      <c r="J980" s="309">
        <v>0</v>
      </c>
      <c r="K980" s="310">
        <v>0</v>
      </c>
      <c r="L980" s="311">
        <v>0</v>
      </c>
      <c r="M980" s="330" t="s">
        <v>291</v>
      </c>
    </row>
    <row r="981" s="263" customFormat="1" ht="18.75" customHeight="1" spans="1:13">
      <c r="A981" s="306" t="s">
        <v>298</v>
      </c>
      <c r="B981" s="307" t="s">
        <v>298</v>
      </c>
      <c r="C981" s="308" t="s">
        <v>530</v>
      </c>
      <c r="D981" s="309">
        <f t="shared" si="756"/>
        <v>15.8644</v>
      </c>
      <c r="E981" s="310">
        <f t="shared" si="757"/>
        <v>15.8644</v>
      </c>
      <c r="F981" s="311">
        <v>15.8644</v>
      </c>
      <c r="G981" s="309">
        <v>0</v>
      </c>
      <c r="H981" s="310">
        <v>0</v>
      </c>
      <c r="I981" s="329">
        <f t="shared" si="758"/>
        <v>0</v>
      </c>
      <c r="J981" s="309">
        <v>0</v>
      </c>
      <c r="K981" s="310">
        <v>0</v>
      </c>
      <c r="L981" s="311">
        <v>0</v>
      </c>
      <c r="M981" s="330" t="s">
        <v>291</v>
      </c>
    </row>
    <row r="982" s="263" customFormat="1" ht="18.75" customHeight="1" spans="1:13">
      <c r="A982" s="306" t="s">
        <v>298</v>
      </c>
      <c r="B982" s="307" t="s">
        <v>298</v>
      </c>
      <c r="C982" s="308" t="s">
        <v>531</v>
      </c>
      <c r="D982" s="309">
        <f t="shared" si="756"/>
        <v>332.3058</v>
      </c>
      <c r="E982" s="310">
        <f t="shared" si="757"/>
        <v>332.3058</v>
      </c>
      <c r="F982" s="311">
        <v>332.3058</v>
      </c>
      <c r="G982" s="309">
        <v>0</v>
      </c>
      <c r="H982" s="310">
        <v>0</v>
      </c>
      <c r="I982" s="329">
        <f t="shared" si="758"/>
        <v>0</v>
      </c>
      <c r="J982" s="309">
        <v>0</v>
      </c>
      <c r="K982" s="310">
        <v>0</v>
      </c>
      <c r="L982" s="311">
        <v>0</v>
      </c>
      <c r="M982" s="330" t="s">
        <v>291</v>
      </c>
    </row>
    <row r="983" s="263" customFormat="1" ht="18.75" customHeight="1" spans="1:13">
      <c r="A983" s="306" t="s">
        <v>298</v>
      </c>
      <c r="B983" s="307" t="s">
        <v>298</v>
      </c>
      <c r="C983" s="308" t="s">
        <v>532</v>
      </c>
      <c r="D983" s="309">
        <f t="shared" si="756"/>
        <v>39.0397</v>
      </c>
      <c r="E983" s="310">
        <f t="shared" si="757"/>
        <v>39.0397</v>
      </c>
      <c r="F983" s="311">
        <v>39.0397</v>
      </c>
      <c r="G983" s="309">
        <v>0</v>
      </c>
      <c r="H983" s="310">
        <v>0</v>
      </c>
      <c r="I983" s="329">
        <f t="shared" si="758"/>
        <v>0</v>
      </c>
      <c r="J983" s="309">
        <v>0</v>
      </c>
      <c r="K983" s="310">
        <v>0</v>
      </c>
      <c r="L983" s="311">
        <v>0</v>
      </c>
      <c r="M983" s="330" t="s">
        <v>291</v>
      </c>
    </row>
    <row r="984" s="263" customFormat="1" ht="18.75" customHeight="1" spans="1:13">
      <c r="A984" s="306" t="s">
        <v>298</v>
      </c>
      <c r="B984" s="307" t="s">
        <v>298</v>
      </c>
      <c r="C984" s="308" t="s">
        <v>533</v>
      </c>
      <c r="D984" s="309">
        <f t="shared" si="756"/>
        <v>101.4714</v>
      </c>
      <c r="E984" s="310">
        <f t="shared" si="757"/>
        <v>101.4714</v>
      </c>
      <c r="F984" s="311">
        <v>101.4714</v>
      </c>
      <c r="G984" s="309">
        <v>0</v>
      </c>
      <c r="H984" s="310">
        <v>0</v>
      </c>
      <c r="I984" s="329">
        <f t="shared" si="758"/>
        <v>0</v>
      </c>
      <c r="J984" s="309">
        <v>0</v>
      </c>
      <c r="K984" s="310">
        <v>0</v>
      </c>
      <c r="L984" s="311">
        <v>0</v>
      </c>
      <c r="M984" s="330" t="s">
        <v>291</v>
      </c>
    </row>
    <row r="985" s="263" customFormat="1" ht="18.75" customHeight="1" spans="1:13">
      <c r="A985" s="306" t="s">
        <v>298</v>
      </c>
      <c r="B985" s="307" t="s">
        <v>298</v>
      </c>
      <c r="C985" s="308" t="s">
        <v>534</v>
      </c>
      <c r="D985" s="309">
        <f t="shared" si="756"/>
        <v>60.1281</v>
      </c>
      <c r="E985" s="310">
        <f t="shared" si="757"/>
        <v>60.1281</v>
      </c>
      <c r="F985" s="311">
        <v>60.1281</v>
      </c>
      <c r="G985" s="309">
        <v>0</v>
      </c>
      <c r="H985" s="310">
        <v>0</v>
      </c>
      <c r="I985" s="329">
        <f t="shared" si="758"/>
        <v>0</v>
      </c>
      <c r="J985" s="309">
        <v>0</v>
      </c>
      <c r="K985" s="310">
        <v>0</v>
      </c>
      <c r="L985" s="311">
        <v>0</v>
      </c>
      <c r="M985" s="330" t="s">
        <v>291</v>
      </c>
    </row>
    <row r="986" s="263" customFormat="1" ht="18.75" customHeight="1" spans="1:13">
      <c r="A986" s="306" t="s">
        <v>298</v>
      </c>
      <c r="B986" s="307" t="s">
        <v>298</v>
      </c>
      <c r="C986" s="308" t="s">
        <v>350</v>
      </c>
      <c r="D986" s="309">
        <f t="shared" si="756"/>
        <v>6.3502</v>
      </c>
      <c r="E986" s="310">
        <f t="shared" si="757"/>
        <v>6.3502</v>
      </c>
      <c r="F986" s="311">
        <v>6.3502</v>
      </c>
      <c r="G986" s="309">
        <v>0</v>
      </c>
      <c r="H986" s="310">
        <v>0</v>
      </c>
      <c r="I986" s="329">
        <f t="shared" si="758"/>
        <v>0</v>
      </c>
      <c r="J986" s="309">
        <v>0</v>
      </c>
      <c r="K986" s="310">
        <v>0</v>
      </c>
      <c r="L986" s="311">
        <v>0</v>
      </c>
      <c r="M986" s="330" t="s">
        <v>291</v>
      </c>
    </row>
    <row r="987" s="263" customFormat="1" ht="18.75" customHeight="1" spans="1:13">
      <c r="A987" s="306" t="s">
        <v>298</v>
      </c>
      <c r="B987" s="307" t="s">
        <v>298</v>
      </c>
      <c r="C987" s="308" t="s">
        <v>352</v>
      </c>
      <c r="D987" s="309">
        <f t="shared" si="756"/>
        <v>20.157</v>
      </c>
      <c r="E987" s="310">
        <f t="shared" si="757"/>
        <v>20.157</v>
      </c>
      <c r="F987" s="311">
        <v>20.157</v>
      </c>
      <c r="G987" s="309">
        <v>0</v>
      </c>
      <c r="H987" s="310">
        <v>0</v>
      </c>
      <c r="I987" s="329">
        <f t="shared" si="758"/>
        <v>0</v>
      </c>
      <c r="J987" s="309">
        <v>0</v>
      </c>
      <c r="K987" s="310">
        <v>0</v>
      </c>
      <c r="L987" s="311">
        <v>0</v>
      </c>
      <c r="M987" s="330" t="s">
        <v>291</v>
      </c>
    </row>
    <row r="988" s="263" customFormat="1" ht="18.75" customHeight="1" spans="1:13">
      <c r="A988" s="306" t="s">
        <v>298</v>
      </c>
      <c r="B988" s="307" t="s">
        <v>298</v>
      </c>
      <c r="C988" s="308" t="s">
        <v>517</v>
      </c>
      <c r="D988" s="309">
        <f t="shared" si="756"/>
        <v>3.3647</v>
      </c>
      <c r="E988" s="310">
        <f t="shared" si="757"/>
        <v>3.3647</v>
      </c>
      <c r="F988" s="311">
        <v>3.3647</v>
      </c>
      <c r="G988" s="309">
        <v>0</v>
      </c>
      <c r="H988" s="310">
        <v>0</v>
      </c>
      <c r="I988" s="329">
        <f t="shared" si="758"/>
        <v>0</v>
      </c>
      <c r="J988" s="309">
        <v>0</v>
      </c>
      <c r="K988" s="310">
        <v>0</v>
      </c>
      <c r="L988" s="311">
        <v>0</v>
      </c>
      <c r="M988" s="330" t="s">
        <v>291</v>
      </c>
    </row>
    <row r="989" s="263" customFormat="1" ht="18.75" customHeight="1" spans="1:13">
      <c r="A989" s="306" t="s">
        <v>298</v>
      </c>
      <c r="B989" s="307" t="s">
        <v>298</v>
      </c>
      <c r="C989" s="308" t="s">
        <v>519</v>
      </c>
      <c r="D989" s="309">
        <f t="shared" si="756"/>
        <v>5.8585</v>
      </c>
      <c r="E989" s="310">
        <f t="shared" si="757"/>
        <v>5.8585</v>
      </c>
      <c r="F989" s="311">
        <v>5.8585</v>
      </c>
      <c r="G989" s="309">
        <v>0</v>
      </c>
      <c r="H989" s="310">
        <v>0</v>
      </c>
      <c r="I989" s="329">
        <f t="shared" si="758"/>
        <v>0</v>
      </c>
      <c r="J989" s="309">
        <v>0</v>
      </c>
      <c r="K989" s="310">
        <v>0</v>
      </c>
      <c r="L989" s="311">
        <v>0</v>
      </c>
      <c r="M989" s="330" t="s">
        <v>291</v>
      </c>
    </row>
    <row r="990" s="263" customFormat="1" ht="18.75" customHeight="1" spans="1:13">
      <c r="A990" s="306" t="s">
        <v>298</v>
      </c>
      <c r="B990" s="307" t="s">
        <v>298</v>
      </c>
      <c r="C990" s="308" t="s">
        <v>354</v>
      </c>
      <c r="D990" s="309">
        <f t="shared" si="756"/>
        <v>6.3192</v>
      </c>
      <c r="E990" s="310">
        <f t="shared" si="757"/>
        <v>6.3192</v>
      </c>
      <c r="F990" s="311">
        <v>6.3192</v>
      </c>
      <c r="G990" s="309">
        <v>0</v>
      </c>
      <c r="H990" s="310">
        <v>0</v>
      </c>
      <c r="I990" s="329">
        <f t="shared" si="758"/>
        <v>0</v>
      </c>
      <c r="J990" s="309">
        <v>0</v>
      </c>
      <c r="K990" s="310">
        <v>0</v>
      </c>
      <c r="L990" s="311">
        <v>0</v>
      </c>
      <c r="M990" s="330" t="s">
        <v>291</v>
      </c>
    </row>
    <row r="991" s="263" customFormat="1" ht="18.75" customHeight="1" spans="1:13">
      <c r="A991" s="306" t="s">
        <v>298</v>
      </c>
      <c r="B991" s="307" t="s">
        <v>298</v>
      </c>
      <c r="C991" s="308" t="s">
        <v>356</v>
      </c>
      <c r="D991" s="309">
        <f t="shared" si="756"/>
        <v>6.3287</v>
      </c>
      <c r="E991" s="310">
        <f t="shared" si="757"/>
        <v>6.3287</v>
      </c>
      <c r="F991" s="311">
        <v>6.3287</v>
      </c>
      <c r="G991" s="309">
        <v>0</v>
      </c>
      <c r="H991" s="310">
        <v>0</v>
      </c>
      <c r="I991" s="329">
        <f t="shared" si="758"/>
        <v>0</v>
      </c>
      <c r="J991" s="309">
        <v>0</v>
      </c>
      <c r="K991" s="310">
        <v>0</v>
      </c>
      <c r="L991" s="311">
        <v>0</v>
      </c>
      <c r="M991" s="330" t="s">
        <v>291</v>
      </c>
    </row>
    <row r="992" s="263" customFormat="1" ht="18.75" customHeight="1" spans="1:13">
      <c r="A992" s="306" t="s">
        <v>298</v>
      </c>
      <c r="B992" s="307" t="s">
        <v>298</v>
      </c>
      <c r="C992" s="308" t="s">
        <v>470</v>
      </c>
      <c r="D992" s="309">
        <f t="shared" si="756"/>
        <v>5.8599</v>
      </c>
      <c r="E992" s="310">
        <f t="shared" si="757"/>
        <v>5.8599</v>
      </c>
      <c r="F992" s="311">
        <v>5.8599</v>
      </c>
      <c r="G992" s="309">
        <v>0</v>
      </c>
      <c r="H992" s="310">
        <v>0</v>
      </c>
      <c r="I992" s="329">
        <f t="shared" si="758"/>
        <v>0</v>
      </c>
      <c r="J992" s="309">
        <v>0</v>
      </c>
      <c r="K992" s="310">
        <v>0</v>
      </c>
      <c r="L992" s="311">
        <v>0</v>
      </c>
      <c r="M992" s="330" t="s">
        <v>291</v>
      </c>
    </row>
    <row r="993" s="263" customFormat="1" ht="18.75" customHeight="1" spans="1:13">
      <c r="A993" s="306" t="s">
        <v>298</v>
      </c>
      <c r="B993" s="307" t="s">
        <v>298</v>
      </c>
      <c r="C993" s="308"/>
      <c r="D993" s="309">
        <f t="shared" si="756"/>
        <v>72.7394</v>
      </c>
      <c r="E993" s="310">
        <f t="shared" si="757"/>
        <v>72.7394</v>
      </c>
      <c r="F993" s="311">
        <v>72.7394</v>
      </c>
      <c r="G993" s="309">
        <v>0</v>
      </c>
      <c r="H993" s="310">
        <v>0</v>
      </c>
      <c r="I993" s="329">
        <f t="shared" si="758"/>
        <v>0</v>
      </c>
      <c r="J993" s="309">
        <v>0</v>
      </c>
      <c r="K993" s="310">
        <v>0</v>
      </c>
      <c r="L993" s="311">
        <v>0</v>
      </c>
      <c r="M993" s="330" t="s">
        <v>291</v>
      </c>
    </row>
    <row r="994" s="263" customFormat="1" ht="18.75" customHeight="1" spans="1:13">
      <c r="A994" s="306" t="s">
        <v>298</v>
      </c>
      <c r="B994" s="307" t="s">
        <v>298</v>
      </c>
      <c r="C994" s="308" t="s">
        <v>432</v>
      </c>
      <c r="D994" s="309">
        <f t="shared" si="756"/>
        <v>16.005</v>
      </c>
      <c r="E994" s="310">
        <f t="shared" si="757"/>
        <v>16.005</v>
      </c>
      <c r="F994" s="311">
        <v>16.005</v>
      </c>
      <c r="G994" s="309">
        <v>0</v>
      </c>
      <c r="H994" s="310">
        <v>0</v>
      </c>
      <c r="I994" s="329">
        <f t="shared" si="758"/>
        <v>0</v>
      </c>
      <c r="J994" s="309">
        <v>0</v>
      </c>
      <c r="K994" s="310">
        <v>0</v>
      </c>
      <c r="L994" s="311">
        <v>0</v>
      </c>
      <c r="M994" s="330" t="s">
        <v>291</v>
      </c>
    </row>
    <row r="995" s="263" customFormat="1" ht="1" customHeight="1" spans="1:13">
      <c r="A995" s="306" t="s">
        <v>298</v>
      </c>
      <c r="B995" s="307" t="s">
        <v>298</v>
      </c>
      <c r="C995" s="308" t="s">
        <v>374</v>
      </c>
      <c r="D995" s="309">
        <f t="shared" si="756"/>
        <v>12.1575</v>
      </c>
      <c r="E995" s="310">
        <f t="shared" si="757"/>
        <v>12.1575</v>
      </c>
      <c r="F995" s="311">
        <v>12.1575</v>
      </c>
      <c r="G995" s="309">
        <v>0</v>
      </c>
      <c r="H995" s="310">
        <v>0</v>
      </c>
      <c r="I995" s="329">
        <f t="shared" si="758"/>
        <v>0</v>
      </c>
      <c r="J995" s="309">
        <v>0</v>
      </c>
      <c r="K995" s="310">
        <v>0</v>
      </c>
      <c r="L995" s="311">
        <v>0</v>
      </c>
      <c r="M995" s="330" t="s">
        <v>291</v>
      </c>
    </row>
    <row r="996" s="263" customFormat="1" ht="18.75" customHeight="1" spans="1:13">
      <c r="A996" s="306" t="s">
        <v>298</v>
      </c>
      <c r="B996" s="307" t="s">
        <v>298</v>
      </c>
      <c r="C996" s="308" t="s">
        <v>398</v>
      </c>
      <c r="D996" s="309">
        <f t="shared" si="756"/>
        <v>14.8659</v>
      </c>
      <c r="E996" s="310">
        <f t="shared" si="757"/>
        <v>14.8659</v>
      </c>
      <c r="F996" s="311">
        <v>14.8659</v>
      </c>
      <c r="G996" s="309">
        <v>0</v>
      </c>
      <c r="H996" s="310">
        <v>0</v>
      </c>
      <c r="I996" s="329">
        <f t="shared" si="758"/>
        <v>0</v>
      </c>
      <c r="J996" s="309">
        <v>0</v>
      </c>
      <c r="K996" s="310">
        <v>0</v>
      </c>
      <c r="L996" s="311">
        <v>0</v>
      </c>
      <c r="M996" s="330" t="s">
        <v>291</v>
      </c>
    </row>
    <row r="997" s="263" customFormat="1" ht="18.75" customHeight="1" spans="1:13">
      <c r="A997" s="306" t="s">
        <v>298</v>
      </c>
      <c r="B997" s="307" t="s">
        <v>298</v>
      </c>
      <c r="C997" s="308" t="s">
        <v>358</v>
      </c>
      <c r="D997" s="309">
        <f t="shared" si="756"/>
        <v>25.8293</v>
      </c>
      <c r="E997" s="310">
        <f t="shared" si="757"/>
        <v>25.8293</v>
      </c>
      <c r="F997" s="311">
        <v>25.8293</v>
      </c>
      <c r="G997" s="309">
        <v>0</v>
      </c>
      <c r="H997" s="310">
        <v>0</v>
      </c>
      <c r="I997" s="329">
        <f t="shared" si="758"/>
        <v>0</v>
      </c>
      <c r="J997" s="309">
        <v>0</v>
      </c>
      <c r="K997" s="310">
        <v>0</v>
      </c>
      <c r="L997" s="311">
        <v>0</v>
      </c>
      <c r="M997" s="330" t="s">
        <v>291</v>
      </c>
    </row>
    <row r="998" s="263" customFormat="1" ht="18.75" customHeight="1" spans="1:13">
      <c r="A998" s="306" t="s">
        <v>298</v>
      </c>
      <c r="B998" s="307" t="s">
        <v>298</v>
      </c>
      <c r="C998" s="308" t="s">
        <v>509</v>
      </c>
      <c r="D998" s="309">
        <f t="shared" si="756"/>
        <v>3.4749</v>
      </c>
      <c r="E998" s="310">
        <f t="shared" si="757"/>
        <v>3.4749</v>
      </c>
      <c r="F998" s="311">
        <v>3.4749</v>
      </c>
      <c r="G998" s="309">
        <v>0</v>
      </c>
      <c r="H998" s="310">
        <v>0</v>
      </c>
      <c r="I998" s="329">
        <f t="shared" si="758"/>
        <v>0</v>
      </c>
      <c r="J998" s="309">
        <v>0</v>
      </c>
      <c r="K998" s="310">
        <v>0</v>
      </c>
      <c r="L998" s="311">
        <v>0</v>
      </c>
      <c r="M998" s="330" t="s">
        <v>291</v>
      </c>
    </row>
    <row r="999" s="263" customFormat="1" ht="18.75" customHeight="1" spans="1:13">
      <c r="A999" s="306" t="s">
        <v>298</v>
      </c>
      <c r="B999" s="307" t="s">
        <v>298</v>
      </c>
      <c r="C999" s="308" t="s">
        <v>535</v>
      </c>
      <c r="D999" s="309">
        <f t="shared" si="756"/>
        <v>8.0244</v>
      </c>
      <c r="E999" s="310">
        <f t="shared" si="757"/>
        <v>8.0244</v>
      </c>
      <c r="F999" s="311">
        <v>8.0244</v>
      </c>
      <c r="G999" s="309">
        <v>0</v>
      </c>
      <c r="H999" s="310">
        <v>0</v>
      </c>
      <c r="I999" s="329">
        <f t="shared" si="758"/>
        <v>0</v>
      </c>
      <c r="J999" s="309">
        <v>0</v>
      </c>
      <c r="K999" s="310">
        <v>0</v>
      </c>
      <c r="L999" s="311">
        <v>0</v>
      </c>
      <c r="M999" s="330" t="s">
        <v>291</v>
      </c>
    </row>
    <row r="1000" s="263" customFormat="1" ht="18.75" customHeight="1" spans="1:13">
      <c r="A1000" s="306" t="s">
        <v>298</v>
      </c>
      <c r="B1000" s="307" t="s">
        <v>298</v>
      </c>
      <c r="C1000" s="308" t="s">
        <v>479</v>
      </c>
      <c r="D1000" s="309">
        <f t="shared" si="756"/>
        <v>6.3459</v>
      </c>
      <c r="E1000" s="310">
        <f t="shared" si="757"/>
        <v>6.3459</v>
      </c>
      <c r="F1000" s="311">
        <v>6.3459</v>
      </c>
      <c r="G1000" s="309">
        <v>0</v>
      </c>
      <c r="H1000" s="310">
        <v>0</v>
      </c>
      <c r="I1000" s="329">
        <f t="shared" si="758"/>
        <v>0</v>
      </c>
      <c r="J1000" s="309">
        <v>0</v>
      </c>
      <c r="K1000" s="310">
        <v>0</v>
      </c>
      <c r="L1000" s="311">
        <v>0</v>
      </c>
      <c r="M1000" s="330" t="s">
        <v>291</v>
      </c>
    </row>
    <row r="1001" s="263" customFormat="1" ht="18.75" customHeight="1" spans="1:13">
      <c r="A1001" s="306" t="s">
        <v>298</v>
      </c>
      <c r="B1001" s="307" t="s">
        <v>298</v>
      </c>
      <c r="C1001" s="308" t="s">
        <v>359</v>
      </c>
      <c r="D1001" s="309">
        <f t="shared" si="756"/>
        <v>8.7528</v>
      </c>
      <c r="E1001" s="310">
        <f t="shared" si="757"/>
        <v>8.7528</v>
      </c>
      <c r="F1001" s="311">
        <v>8.7528</v>
      </c>
      <c r="G1001" s="309">
        <v>0</v>
      </c>
      <c r="H1001" s="310">
        <v>0</v>
      </c>
      <c r="I1001" s="329">
        <f t="shared" si="758"/>
        <v>0</v>
      </c>
      <c r="J1001" s="309">
        <v>0</v>
      </c>
      <c r="K1001" s="310">
        <v>0</v>
      </c>
      <c r="L1001" s="311">
        <v>0</v>
      </c>
      <c r="M1001" s="330" t="s">
        <v>291</v>
      </c>
    </row>
    <row r="1002" s="263" customFormat="1" ht="18.75" customHeight="1" spans="1:13">
      <c r="A1002" s="306" t="s">
        <v>298</v>
      </c>
      <c r="B1002" s="307" t="s">
        <v>298</v>
      </c>
      <c r="C1002" s="308" t="s">
        <v>361</v>
      </c>
      <c r="D1002" s="309">
        <f t="shared" si="756"/>
        <v>5.4344</v>
      </c>
      <c r="E1002" s="310">
        <f t="shared" si="757"/>
        <v>5.4344</v>
      </c>
      <c r="F1002" s="311">
        <v>5.4344</v>
      </c>
      <c r="G1002" s="309">
        <v>0</v>
      </c>
      <c r="H1002" s="310">
        <v>0</v>
      </c>
      <c r="I1002" s="329">
        <f t="shared" si="758"/>
        <v>0</v>
      </c>
      <c r="J1002" s="309">
        <v>0</v>
      </c>
      <c r="K1002" s="310">
        <v>0</v>
      </c>
      <c r="L1002" s="311">
        <v>0</v>
      </c>
      <c r="M1002" s="330" t="s">
        <v>291</v>
      </c>
    </row>
    <row r="1003" s="263" customFormat="1" ht="18.75" customHeight="1" spans="1:13">
      <c r="A1003" s="306" t="s">
        <v>298</v>
      </c>
      <c r="B1003" s="307" t="s">
        <v>298</v>
      </c>
      <c r="C1003" s="308" t="s">
        <v>363</v>
      </c>
      <c r="D1003" s="309">
        <f t="shared" si="756"/>
        <v>12.0411</v>
      </c>
      <c r="E1003" s="310">
        <f t="shared" si="757"/>
        <v>12.0411</v>
      </c>
      <c r="F1003" s="311">
        <v>12.0411</v>
      </c>
      <c r="G1003" s="309">
        <v>0</v>
      </c>
      <c r="H1003" s="310">
        <v>0</v>
      </c>
      <c r="I1003" s="329">
        <f t="shared" si="758"/>
        <v>0</v>
      </c>
      <c r="J1003" s="309">
        <v>0</v>
      </c>
      <c r="K1003" s="310">
        <v>0</v>
      </c>
      <c r="L1003" s="311">
        <v>0</v>
      </c>
      <c r="M1003" s="330" t="s">
        <v>291</v>
      </c>
    </row>
    <row r="1004" s="263" customFormat="1" ht="18.75" customHeight="1" spans="1:13">
      <c r="A1004" s="306" t="s">
        <v>298</v>
      </c>
      <c r="B1004" s="307" t="s">
        <v>298</v>
      </c>
      <c r="C1004" s="308" t="s">
        <v>536</v>
      </c>
      <c r="D1004" s="309">
        <f t="shared" si="756"/>
        <v>137.207</v>
      </c>
      <c r="E1004" s="310">
        <f t="shared" si="757"/>
        <v>137.207</v>
      </c>
      <c r="F1004" s="311">
        <v>137.207</v>
      </c>
      <c r="G1004" s="309">
        <v>0</v>
      </c>
      <c r="H1004" s="310">
        <v>0</v>
      </c>
      <c r="I1004" s="329">
        <f t="shared" si="758"/>
        <v>0</v>
      </c>
      <c r="J1004" s="309">
        <v>0</v>
      </c>
      <c r="K1004" s="310">
        <v>0</v>
      </c>
      <c r="L1004" s="311">
        <v>0</v>
      </c>
      <c r="M1004" s="330" t="s">
        <v>291</v>
      </c>
    </row>
    <row r="1005" s="263" customFormat="1" ht="18.75" customHeight="1" spans="1:13">
      <c r="A1005" s="306" t="s">
        <v>298</v>
      </c>
      <c r="B1005" s="307" t="s">
        <v>298</v>
      </c>
      <c r="C1005" s="308" t="s">
        <v>537</v>
      </c>
      <c r="D1005" s="309">
        <f t="shared" si="756"/>
        <v>30.8624</v>
      </c>
      <c r="E1005" s="310">
        <f t="shared" si="757"/>
        <v>30.8624</v>
      </c>
      <c r="F1005" s="311">
        <v>30.8624</v>
      </c>
      <c r="G1005" s="309">
        <v>0</v>
      </c>
      <c r="H1005" s="310">
        <v>0</v>
      </c>
      <c r="I1005" s="329">
        <f t="shared" si="758"/>
        <v>0</v>
      </c>
      <c r="J1005" s="309">
        <v>0</v>
      </c>
      <c r="K1005" s="310">
        <v>0</v>
      </c>
      <c r="L1005" s="311">
        <v>0</v>
      </c>
      <c r="M1005" s="330" t="s">
        <v>291</v>
      </c>
    </row>
    <row r="1006" s="263" customFormat="1" ht="18.75" customHeight="1" spans="1:13">
      <c r="A1006" s="306" t="s">
        <v>298</v>
      </c>
      <c r="B1006" s="307" t="s">
        <v>298</v>
      </c>
      <c r="C1006" s="308" t="s">
        <v>364</v>
      </c>
      <c r="D1006" s="309">
        <f t="shared" si="756"/>
        <v>7.0535</v>
      </c>
      <c r="E1006" s="310">
        <f t="shared" si="757"/>
        <v>7.0535</v>
      </c>
      <c r="F1006" s="311">
        <v>7.0535</v>
      </c>
      <c r="G1006" s="309">
        <v>0</v>
      </c>
      <c r="H1006" s="310">
        <v>0</v>
      </c>
      <c r="I1006" s="329">
        <f t="shared" si="758"/>
        <v>0</v>
      </c>
      <c r="J1006" s="309">
        <v>0</v>
      </c>
      <c r="K1006" s="310">
        <v>0</v>
      </c>
      <c r="L1006" s="311">
        <v>0</v>
      </c>
      <c r="M1006" s="330" t="s">
        <v>291</v>
      </c>
    </row>
    <row r="1007" s="263" customFormat="1" ht="18.75" customHeight="1" spans="1:13">
      <c r="A1007" s="306" t="s">
        <v>298</v>
      </c>
      <c r="B1007" s="307" t="s">
        <v>298</v>
      </c>
      <c r="C1007" s="308" t="s">
        <v>538</v>
      </c>
      <c r="D1007" s="309">
        <f t="shared" si="756"/>
        <v>3.1697</v>
      </c>
      <c r="E1007" s="310">
        <f t="shared" si="757"/>
        <v>3.1697</v>
      </c>
      <c r="F1007" s="311">
        <v>3.1697</v>
      </c>
      <c r="G1007" s="309">
        <v>0</v>
      </c>
      <c r="H1007" s="310">
        <v>0</v>
      </c>
      <c r="I1007" s="329">
        <f t="shared" si="758"/>
        <v>0</v>
      </c>
      <c r="J1007" s="309">
        <v>0</v>
      </c>
      <c r="K1007" s="310">
        <v>0</v>
      </c>
      <c r="L1007" s="311">
        <v>0</v>
      </c>
      <c r="M1007" s="330" t="s">
        <v>291</v>
      </c>
    </row>
    <row r="1008" s="263" customFormat="1" ht="18.75" customHeight="1" spans="1:13">
      <c r="A1008" s="306" t="s">
        <v>298</v>
      </c>
      <c r="B1008" s="307" t="s">
        <v>298</v>
      </c>
      <c r="C1008" s="308" t="s">
        <v>539</v>
      </c>
      <c r="D1008" s="309">
        <f t="shared" si="756"/>
        <v>3873.1425</v>
      </c>
      <c r="E1008" s="310">
        <f t="shared" si="757"/>
        <v>3873.1425</v>
      </c>
      <c r="F1008" s="311">
        <v>3873.1425</v>
      </c>
      <c r="G1008" s="309">
        <v>0</v>
      </c>
      <c r="H1008" s="310">
        <v>0</v>
      </c>
      <c r="I1008" s="329">
        <f t="shared" si="758"/>
        <v>0</v>
      </c>
      <c r="J1008" s="309">
        <v>0</v>
      </c>
      <c r="K1008" s="310">
        <v>0</v>
      </c>
      <c r="L1008" s="311">
        <v>0</v>
      </c>
      <c r="M1008" s="330" t="s">
        <v>291</v>
      </c>
    </row>
    <row r="1009" s="263" customFormat="1" ht="18.75" customHeight="1" spans="1:13">
      <c r="A1009" s="306" t="s">
        <v>298</v>
      </c>
      <c r="B1009" s="307" t="s">
        <v>298</v>
      </c>
      <c r="C1009" s="308" t="s">
        <v>540</v>
      </c>
      <c r="D1009" s="309">
        <f t="shared" si="756"/>
        <v>70.7321</v>
      </c>
      <c r="E1009" s="310">
        <f t="shared" si="757"/>
        <v>70.7321</v>
      </c>
      <c r="F1009" s="311">
        <v>70.7321</v>
      </c>
      <c r="G1009" s="309">
        <v>0</v>
      </c>
      <c r="H1009" s="310">
        <v>0</v>
      </c>
      <c r="I1009" s="329">
        <f t="shared" si="758"/>
        <v>0</v>
      </c>
      <c r="J1009" s="309">
        <v>0</v>
      </c>
      <c r="K1009" s="310">
        <v>0</v>
      </c>
      <c r="L1009" s="311">
        <v>0</v>
      </c>
      <c r="M1009" s="330" t="s">
        <v>291</v>
      </c>
    </row>
    <row r="1010" s="263" customFormat="1" ht="18.75" customHeight="1" spans="1:13">
      <c r="A1010" s="306" t="s">
        <v>298</v>
      </c>
      <c r="B1010" s="307" t="s">
        <v>298</v>
      </c>
      <c r="C1010" s="308" t="s">
        <v>541</v>
      </c>
      <c r="D1010" s="309">
        <f t="shared" si="756"/>
        <v>7.8793</v>
      </c>
      <c r="E1010" s="310">
        <f t="shared" si="757"/>
        <v>7.8793</v>
      </c>
      <c r="F1010" s="311">
        <v>7.8793</v>
      </c>
      <c r="G1010" s="309">
        <v>0</v>
      </c>
      <c r="H1010" s="310">
        <v>0</v>
      </c>
      <c r="I1010" s="329">
        <f t="shared" si="758"/>
        <v>0</v>
      </c>
      <c r="J1010" s="309">
        <v>0</v>
      </c>
      <c r="K1010" s="310">
        <v>0</v>
      </c>
      <c r="L1010" s="311">
        <v>0</v>
      </c>
      <c r="M1010" s="330" t="s">
        <v>291</v>
      </c>
    </row>
    <row r="1011" s="263" customFormat="1" ht="18.75" customHeight="1" spans="1:13">
      <c r="A1011" s="306" t="s">
        <v>298</v>
      </c>
      <c r="B1011" s="307" t="s">
        <v>298</v>
      </c>
      <c r="C1011" s="308" t="s">
        <v>542</v>
      </c>
      <c r="D1011" s="309">
        <f t="shared" si="756"/>
        <v>21.9675</v>
      </c>
      <c r="E1011" s="310">
        <f t="shared" si="757"/>
        <v>21.9675</v>
      </c>
      <c r="F1011" s="311">
        <v>21.9675</v>
      </c>
      <c r="G1011" s="309">
        <v>0</v>
      </c>
      <c r="H1011" s="310">
        <v>0</v>
      </c>
      <c r="I1011" s="329">
        <f t="shared" si="758"/>
        <v>0</v>
      </c>
      <c r="J1011" s="309">
        <v>0</v>
      </c>
      <c r="K1011" s="310">
        <v>0</v>
      </c>
      <c r="L1011" s="311">
        <v>0</v>
      </c>
      <c r="M1011" s="330" t="s">
        <v>291</v>
      </c>
    </row>
    <row r="1012" s="263" customFormat="1" ht="13" customHeight="1" spans="1:13">
      <c r="A1012" s="306" t="s">
        <v>298</v>
      </c>
      <c r="B1012" s="307" t="s">
        <v>298</v>
      </c>
      <c r="C1012" s="308" t="s">
        <v>543</v>
      </c>
      <c r="D1012" s="309">
        <f t="shared" si="756"/>
        <v>13.7989</v>
      </c>
      <c r="E1012" s="310">
        <f t="shared" si="757"/>
        <v>13.7989</v>
      </c>
      <c r="F1012" s="311">
        <v>13.7989</v>
      </c>
      <c r="G1012" s="309">
        <v>0</v>
      </c>
      <c r="H1012" s="310">
        <v>0</v>
      </c>
      <c r="I1012" s="329">
        <f t="shared" si="758"/>
        <v>0</v>
      </c>
      <c r="J1012" s="309">
        <v>0</v>
      </c>
      <c r="K1012" s="310">
        <v>0</v>
      </c>
      <c r="L1012" s="311">
        <v>0</v>
      </c>
      <c r="M1012" s="330" t="s">
        <v>291</v>
      </c>
    </row>
    <row r="1013" s="263" customFormat="1" ht="18.75" customHeight="1" spans="1:13">
      <c r="A1013" s="306" t="s">
        <v>298</v>
      </c>
      <c r="B1013" s="307" t="s">
        <v>298</v>
      </c>
      <c r="C1013" s="308" t="s">
        <v>501</v>
      </c>
      <c r="D1013" s="309">
        <f t="shared" si="756"/>
        <v>6.6118</v>
      </c>
      <c r="E1013" s="310">
        <f t="shared" si="757"/>
        <v>6.6118</v>
      </c>
      <c r="F1013" s="311">
        <v>6.6118</v>
      </c>
      <c r="G1013" s="309">
        <v>0</v>
      </c>
      <c r="H1013" s="310">
        <v>0</v>
      </c>
      <c r="I1013" s="329">
        <f t="shared" si="758"/>
        <v>0</v>
      </c>
      <c r="J1013" s="309">
        <v>0</v>
      </c>
      <c r="K1013" s="310">
        <v>0</v>
      </c>
      <c r="L1013" s="311">
        <v>0</v>
      </c>
      <c r="M1013" s="330" t="s">
        <v>291</v>
      </c>
    </row>
    <row r="1014" s="263" customFormat="1" ht="18.75" customHeight="1" spans="1:13">
      <c r="A1014" s="306" t="s">
        <v>298</v>
      </c>
      <c r="B1014" s="307" t="s">
        <v>298</v>
      </c>
      <c r="C1014" s="308" t="s">
        <v>483</v>
      </c>
      <c r="D1014" s="309">
        <f t="shared" si="756"/>
        <v>3.8822</v>
      </c>
      <c r="E1014" s="310">
        <f t="shared" si="757"/>
        <v>3.8822</v>
      </c>
      <c r="F1014" s="311">
        <v>3.8822</v>
      </c>
      <c r="G1014" s="309">
        <v>0</v>
      </c>
      <c r="H1014" s="310">
        <v>0</v>
      </c>
      <c r="I1014" s="329">
        <f t="shared" si="758"/>
        <v>0</v>
      </c>
      <c r="J1014" s="309">
        <v>0</v>
      </c>
      <c r="K1014" s="310">
        <v>0</v>
      </c>
      <c r="L1014" s="311">
        <v>0</v>
      </c>
      <c r="M1014" s="330" t="s">
        <v>291</v>
      </c>
    </row>
    <row r="1015" s="263" customFormat="1" ht="18.75" customHeight="1" spans="1:13">
      <c r="A1015" s="306" t="s">
        <v>298</v>
      </c>
      <c r="B1015" s="307" t="s">
        <v>298</v>
      </c>
      <c r="C1015" s="308" t="s">
        <v>544</v>
      </c>
      <c r="D1015" s="309">
        <f t="shared" si="756"/>
        <v>4.6206</v>
      </c>
      <c r="E1015" s="310">
        <f t="shared" si="757"/>
        <v>4.6206</v>
      </c>
      <c r="F1015" s="311">
        <v>4.6206</v>
      </c>
      <c r="G1015" s="309">
        <v>0</v>
      </c>
      <c r="H1015" s="310">
        <v>0</v>
      </c>
      <c r="I1015" s="329">
        <f t="shared" si="758"/>
        <v>0</v>
      </c>
      <c r="J1015" s="309">
        <v>0</v>
      </c>
      <c r="K1015" s="310">
        <v>0</v>
      </c>
      <c r="L1015" s="311">
        <v>0</v>
      </c>
      <c r="M1015" s="330" t="s">
        <v>291</v>
      </c>
    </row>
    <row r="1016" s="263" customFormat="1" ht="18.75" customHeight="1" spans="1:13">
      <c r="A1016" s="306" t="s">
        <v>298</v>
      </c>
      <c r="B1016" s="307" t="s">
        <v>298</v>
      </c>
      <c r="C1016" s="308" t="s">
        <v>521</v>
      </c>
      <c r="D1016" s="309">
        <f t="shared" si="756"/>
        <v>3.8607</v>
      </c>
      <c r="E1016" s="310">
        <f t="shared" si="757"/>
        <v>3.8607</v>
      </c>
      <c r="F1016" s="311">
        <v>3.8607</v>
      </c>
      <c r="G1016" s="309">
        <v>0</v>
      </c>
      <c r="H1016" s="310">
        <v>0</v>
      </c>
      <c r="I1016" s="329">
        <f t="shared" si="758"/>
        <v>0</v>
      </c>
      <c r="J1016" s="309">
        <v>0</v>
      </c>
      <c r="K1016" s="310">
        <v>0</v>
      </c>
      <c r="L1016" s="311">
        <v>0</v>
      </c>
      <c r="M1016" s="330" t="s">
        <v>291</v>
      </c>
    </row>
    <row r="1017" s="263" customFormat="1" ht="18.75" customHeight="1" spans="1:13">
      <c r="A1017" s="306" t="s">
        <v>298</v>
      </c>
      <c r="B1017" s="307" t="s">
        <v>298</v>
      </c>
      <c r="C1017" s="308" t="s">
        <v>523</v>
      </c>
      <c r="D1017" s="309">
        <f t="shared" si="756"/>
        <v>5.4368</v>
      </c>
      <c r="E1017" s="310">
        <f t="shared" si="757"/>
        <v>5.4368</v>
      </c>
      <c r="F1017" s="311">
        <v>5.4368</v>
      </c>
      <c r="G1017" s="309">
        <v>0</v>
      </c>
      <c r="H1017" s="310">
        <v>0</v>
      </c>
      <c r="I1017" s="329">
        <f t="shared" si="758"/>
        <v>0</v>
      </c>
      <c r="J1017" s="309">
        <v>0</v>
      </c>
      <c r="K1017" s="310">
        <v>0</v>
      </c>
      <c r="L1017" s="311">
        <v>0</v>
      </c>
      <c r="M1017" s="330" t="s">
        <v>291</v>
      </c>
    </row>
    <row r="1018" s="263" customFormat="1" ht="18.75" customHeight="1" spans="1:13">
      <c r="A1018" s="306" t="s">
        <v>298</v>
      </c>
      <c r="B1018" s="307" t="s">
        <v>298</v>
      </c>
      <c r="C1018" s="308" t="s">
        <v>545</v>
      </c>
      <c r="D1018" s="309">
        <f t="shared" si="756"/>
        <v>18.0174</v>
      </c>
      <c r="E1018" s="310">
        <f t="shared" si="757"/>
        <v>18.0174</v>
      </c>
      <c r="F1018" s="311">
        <v>18.0174</v>
      </c>
      <c r="G1018" s="309">
        <v>0</v>
      </c>
      <c r="H1018" s="310">
        <v>0</v>
      </c>
      <c r="I1018" s="329">
        <f t="shared" si="758"/>
        <v>0</v>
      </c>
      <c r="J1018" s="309">
        <v>0</v>
      </c>
      <c r="K1018" s="310">
        <v>0</v>
      </c>
      <c r="L1018" s="311">
        <v>0</v>
      </c>
      <c r="M1018" s="330" t="s">
        <v>291</v>
      </c>
    </row>
    <row r="1019" s="263" customFormat="1" ht="18.75" customHeight="1" spans="1:13">
      <c r="A1019" s="306" t="s">
        <v>298</v>
      </c>
      <c r="B1019" s="307" t="s">
        <v>298</v>
      </c>
      <c r="C1019" s="308" t="s">
        <v>387</v>
      </c>
      <c r="D1019" s="309">
        <f t="shared" si="756"/>
        <v>50.8187</v>
      </c>
      <c r="E1019" s="310">
        <f t="shared" si="757"/>
        <v>50.8187</v>
      </c>
      <c r="F1019" s="311">
        <v>50.8187</v>
      </c>
      <c r="G1019" s="309">
        <v>0</v>
      </c>
      <c r="H1019" s="310">
        <v>0</v>
      </c>
      <c r="I1019" s="329">
        <f t="shared" si="758"/>
        <v>0</v>
      </c>
      <c r="J1019" s="309">
        <v>0</v>
      </c>
      <c r="K1019" s="310">
        <v>0</v>
      </c>
      <c r="L1019" s="311">
        <v>0</v>
      </c>
      <c r="M1019" s="330" t="s">
        <v>291</v>
      </c>
    </row>
    <row r="1020" s="263" customFormat="1" ht="18.75" customHeight="1" spans="1:13">
      <c r="A1020" s="306" t="s">
        <v>298</v>
      </c>
      <c r="B1020" s="307" t="s">
        <v>298</v>
      </c>
      <c r="C1020" s="308" t="s">
        <v>546</v>
      </c>
      <c r="D1020" s="309">
        <f t="shared" si="756"/>
        <v>29.122</v>
      </c>
      <c r="E1020" s="310">
        <f t="shared" si="757"/>
        <v>29.122</v>
      </c>
      <c r="F1020" s="311">
        <v>29.122</v>
      </c>
      <c r="G1020" s="309">
        <v>0</v>
      </c>
      <c r="H1020" s="310">
        <v>0</v>
      </c>
      <c r="I1020" s="329">
        <f t="shared" si="758"/>
        <v>0</v>
      </c>
      <c r="J1020" s="309">
        <v>0</v>
      </c>
      <c r="K1020" s="310">
        <v>0</v>
      </c>
      <c r="L1020" s="311">
        <v>0</v>
      </c>
      <c r="M1020" s="330" t="s">
        <v>291</v>
      </c>
    </row>
    <row r="1021" s="263" customFormat="1" ht="18.75" customHeight="1" spans="1:13">
      <c r="A1021" s="306" t="s">
        <v>298</v>
      </c>
      <c r="B1021" s="307" t="s">
        <v>298</v>
      </c>
      <c r="C1021" s="308" t="s">
        <v>547</v>
      </c>
      <c r="D1021" s="309">
        <f t="shared" si="756"/>
        <v>7.1584</v>
      </c>
      <c r="E1021" s="310">
        <f t="shared" si="757"/>
        <v>7.1584</v>
      </c>
      <c r="F1021" s="311">
        <v>7.1584</v>
      </c>
      <c r="G1021" s="309">
        <v>0</v>
      </c>
      <c r="H1021" s="310">
        <v>0</v>
      </c>
      <c r="I1021" s="329">
        <f t="shared" si="758"/>
        <v>0</v>
      </c>
      <c r="J1021" s="309">
        <v>0</v>
      </c>
      <c r="K1021" s="310">
        <v>0</v>
      </c>
      <c r="L1021" s="311">
        <v>0</v>
      </c>
      <c r="M1021" s="330" t="s">
        <v>291</v>
      </c>
    </row>
    <row r="1022" s="263" customFormat="1" ht="18.75" customHeight="1" spans="1:13">
      <c r="A1022" s="306" t="s">
        <v>298</v>
      </c>
      <c r="B1022" s="307" t="s">
        <v>298</v>
      </c>
      <c r="C1022" s="308" t="s">
        <v>548</v>
      </c>
      <c r="D1022" s="309">
        <f t="shared" si="756"/>
        <v>36.5419</v>
      </c>
      <c r="E1022" s="310">
        <f t="shared" si="757"/>
        <v>36.5419</v>
      </c>
      <c r="F1022" s="311">
        <v>36.5419</v>
      </c>
      <c r="G1022" s="309">
        <v>0</v>
      </c>
      <c r="H1022" s="310">
        <v>0</v>
      </c>
      <c r="I1022" s="329">
        <f t="shared" si="758"/>
        <v>0</v>
      </c>
      <c r="J1022" s="309">
        <v>0</v>
      </c>
      <c r="K1022" s="310">
        <v>0</v>
      </c>
      <c r="L1022" s="311">
        <v>0</v>
      </c>
      <c r="M1022" s="330" t="s">
        <v>291</v>
      </c>
    </row>
    <row r="1023" s="263" customFormat="1" ht="18.75" customHeight="1" spans="1:13">
      <c r="A1023" s="306" t="s">
        <v>298</v>
      </c>
      <c r="B1023" s="307" t="s">
        <v>298</v>
      </c>
      <c r="C1023" s="308" t="s">
        <v>549</v>
      </c>
      <c r="D1023" s="309">
        <f t="shared" si="756"/>
        <v>41.2006</v>
      </c>
      <c r="E1023" s="310">
        <f t="shared" si="757"/>
        <v>41.2006</v>
      </c>
      <c r="F1023" s="311">
        <v>41.2006</v>
      </c>
      <c r="G1023" s="309">
        <v>0</v>
      </c>
      <c r="H1023" s="310">
        <v>0</v>
      </c>
      <c r="I1023" s="329">
        <f t="shared" si="758"/>
        <v>0</v>
      </c>
      <c r="J1023" s="309">
        <v>0</v>
      </c>
      <c r="K1023" s="310">
        <v>0</v>
      </c>
      <c r="L1023" s="311">
        <v>0</v>
      </c>
      <c r="M1023" s="330" t="s">
        <v>291</v>
      </c>
    </row>
    <row r="1024" s="263" customFormat="1" ht="18.75" customHeight="1" spans="1:13">
      <c r="A1024" s="306" t="s">
        <v>298</v>
      </c>
      <c r="B1024" s="307" t="s">
        <v>298</v>
      </c>
      <c r="C1024" s="308" t="s">
        <v>550</v>
      </c>
      <c r="D1024" s="309">
        <f t="shared" si="756"/>
        <v>70.3044</v>
      </c>
      <c r="E1024" s="310">
        <f t="shared" si="757"/>
        <v>70.3044</v>
      </c>
      <c r="F1024" s="311">
        <v>70.3044</v>
      </c>
      <c r="G1024" s="309">
        <v>0</v>
      </c>
      <c r="H1024" s="310">
        <v>0</v>
      </c>
      <c r="I1024" s="329">
        <f t="shared" si="758"/>
        <v>0</v>
      </c>
      <c r="J1024" s="309">
        <v>0</v>
      </c>
      <c r="K1024" s="310">
        <v>0</v>
      </c>
      <c r="L1024" s="311">
        <v>0</v>
      </c>
      <c r="M1024" s="330" t="s">
        <v>291</v>
      </c>
    </row>
    <row r="1025" s="263" customFormat="1" ht="18.75" customHeight="1" spans="1:13">
      <c r="A1025" s="306" t="s">
        <v>298</v>
      </c>
      <c r="B1025" s="307" t="s">
        <v>298</v>
      </c>
      <c r="C1025" s="308" t="s">
        <v>551</v>
      </c>
      <c r="D1025" s="309">
        <f t="shared" si="756"/>
        <v>5.4739</v>
      </c>
      <c r="E1025" s="310">
        <f t="shared" si="757"/>
        <v>5.4739</v>
      </c>
      <c r="F1025" s="311">
        <v>5.4739</v>
      </c>
      <c r="G1025" s="309">
        <v>0</v>
      </c>
      <c r="H1025" s="310">
        <v>0</v>
      </c>
      <c r="I1025" s="329">
        <f t="shared" si="758"/>
        <v>0</v>
      </c>
      <c r="J1025" s="309">
        <v>0</v>
      </c>
      <c r="K1025" s="310">
        <v>0</v>
      </c>
      <c r="L1025" s="311">
        <v>0</v>
      </c>
      <c r="M1025" s="330" t="s">
        <v>291</v>
      </c>
    </row>
    <row r="1026" s="263" customFormat="1" ht="18.75" customHeight="1" spans="1:13">
      <c r="A1026" s="306" t="s">
        <v>298</v>
      </c>
      <c r="B1026" s="307" t="s">
        <v>298</v>
      </c>
      <c r="C1026" s="308" t="s">
        <v>552</v>
      </c>
      <c r="D1026" s="309">
        <f t="shared" si="756"/>
        <v>62.1653</v>
      </c>
      <c r="E1026" s="310">
        <f t="shared" si="757"/>
        <v>62.1653</v>
      </c>
      <c r="F1026" s="311">
        <v>62.1653</v>
      </c>
      <c r="G1026" s="309">
        <v>0</v>
      </c>
      <c r="H1026" s="310">
        <v>0</v>
      </c>
      <c r="I1026" s="329">
        <f t="shared" si="758"/>
        <v>0</v>
      </c>
      <c r="J1026" s="309">
        <v>0</v>
      </c>
      <c r="K1026" s="310">
        <v>0</v>
      </c>
      <c r="L1026" s="311">
        <v>0</v>
      </c>
      <c r="M1026" s="330" t="s">
        <v>291</v>
      </c>
    </row>
    <row r="1027" s="263" customFormat="1" ht="18.75" customHeight="1" spans="1:13">
      <c r="A1027" s="306" t="s">
        <v>298</v>
      </c>
      <c r="B1027" s="307" t="s">
        <v>298</v>
      </c>
      <c r="C1027" s="308" t="s">
        <v>553</v>
      </c>
      <c r="D1027" s="309">
        <f t="shared" si="756"/>
        <v>33.5426</v>
      </c>
      <c r="E1027" s="310">
        <f t="shared" si="757"/>
        <v>33.5426</v>
      </c>
      <c r="F1027" s="311">
        <v>33.5426</v>
      </c>
      <c r="G1027" s="309">
        <v>0</v>
      </c>
      <c r="H1027" s="310">
        <v>0</v>
      </c>
      <c r="I1027" s="329">
        <f t="shared" si="758"/>
        <v>0</v>
      </c>
      <c r="J1027" s="309">
        <v>0</v>
      </c>
      <c r="K1027" s="310">
        <v>0</v>
      </c>
      <c r="L1027" s="311">
        <v>0</v>
      </c>
      <c r="M1027" s="330" t="s">
        <v>291</v>
      </c>
    </row>
    <row r="1028" s="263" customFormat="1" ht="18.75" customHeight="1" spans="1:13">
      <c r="A1028" s="306" t="s">
        <v>298</v>
      </c>
      <c r="B1028" s="307" t="s">
        <v>298</v>
      </c>
      <c r="C1028" s="308" t="s">
        <v>554</v>
      </c>
      <c r="D1028" s="309">
        <f t="shared" si="756"/>
        <v>33.0131</v>
      </c>
      <c r="E1028" s="310">
        <f t="shared" si="757"/>
        <v>33.0131</v>
      </c>
      <c r="F1028" s="311">
        <v>33.0131</v>
      </c>
      <c r="G1028" s="309">
        <v>0</v>
      </c>
      <c r="H1028" s="310">
        <v>0</v>
      </c>
      <c r="I1028" s="329">
        <f t="shared" si="758"/>
        <v>0</v>
      </c>
      <c r="J1028" s="309">
        <v>0</v>
      </c>
      <c r="K1028" s="310">
        <v>0</v>
      </c>
      <c r="L1028" s="311">
        <v>0</v>
      </c>
      <c r="M1028" s="330" t="s">
        <v>291</v>
      </c>
    </row>
    <row r="1029" s="263" customFormat="1" ht="18.75" customHeight="1" spans="1:13">
      <c r="A1029" s="306" t="s">
        <v>298</v>
      </c>
      <c r="B1029" s="307" t="s">
        <v>298</v>
      </c>
      <c r="C1029" s="308" t="s">
        <v>555</v>
      </c>
      <c r="D1029" s="309">
        <f t="shared" si="756"/>
        <v>629.4421</v>
      </c>
      <c r="E1029" s="310">
        <f t="shared" si="757"/>
        <v>629.4421</v>
      </c>
      <c r="F1029" s="311">
        <v>629.4421</v>
      </c>
      <c r="G1029" s="309">
        <v>0</v>
      </c>
      <c r="H1029" s="310">
        <v>0</v>
      </c>
      <c r="I1029" s="329">
        <f t="shared" si="758"/>
        <v>0</v>
      </c>
      <c r="J1029" s="309">
        <v>0</v>
      </c>
      <c r="K1029" s="310">
        <v>0</v>
      </c>
      <c r="L1029" s="311">
        <v>0</v>
      </c>
      <c r="M1029" s="330" t="s">
        <v>291</v>
      </c>
    </row>
    <row r="1030" s="263" customFormat="1" ht="18.75" customHeight="1" spans="1:13">
      <c r="A1030" s="306" t="s">
        <v>298</v>
      </c>
      <c r="B1030" s="307" t="s">
        <v>298</v>
      </c>
      <c r="C1030" s="308" t="s">
        <v>556</v>
      </c>
      <c r="D1030" s="309">
        <f t="shared" si="756"/>
        <v>67.4896</v>
      </c>
      <c r="E1030" s="310">
        <f t="shared" si="757"/>
        <v>67.4896</v>
      </c>
      <c r="F1030" s="311">
        <v>67.4896</v>
      </c>
      <c r="G1030" s="309">
        <v>0</v>
      </c>
      <c r="H1030" s="310">
        <v>0</v>
      </c>
      <c r="I1030" s="329">
        <f t="shared" si="758"/>
        <v>0</v>
      </c>
      <c r="J1030" s="309">
        <v>0</v>
      </c>
      <c r="K1030" s="310">
        <v>0</v>
      </c>
      <c r="L1030" s="311">
        <v>0</v>
      </c>
      <c r="M1030" s="330" t="s">
        <v>291</v>
      </c>
    </row>
    <row r="1031" s="263" customFormat="1" ht="18.75" customHeight="1" spans="1:13">
      <c r="A1031" s="306" t="s">
        <v>298</v>
      </c>
      <c r="B1031" s="307" t="s">
        <v>298</v>
      </c>
      <c r="C1031" s="308" t="s">
        <v>557</v>
      </c>
      <c r="D1031" s="309">
        <f t="shared" si="756"/>
        <v>11.8745</v>
      </c>
      <c r="E1031" s="310">
        <f t="shared" si="757"/>
        <v>11.8745</v>
      </c>
      <c r="F1031" s="311">
        <v>11.8745</v>
      </c>
      <c r="G1031" s="309">
        <v>0</v>
      </c>
      <c r="H1031" s="310">
        <v>0</v>
      </c>
      <c r="I1031" s="329">
        <f t="shared" si="758"/>
        <v>0</v>
      </c>
      <c r="J1031" s="309">
        <v>0</v>
      </c>
      <c r="K1031" s="310">
        <v>0</v>
      </c>
      <c r="L1031" s="311">
        <v>0</v>
      </c>
      <c r="M1031" s="330" t="s">
        <v>291</v>
      </c>
    </row>
    <row r="1032" s="263" customFormat="1" ht="18.75" customHeight="1" spans="1:13">
      <c r="A1032" s="306" t="s">
        <v>298</v>
      </c>
      <c r="B1032" s="307" t="s">
        <v>298</v>
      </c>
      <c r="C1032" s="308" t="s">
        <v>558</v>
      </c>
      <c r="D1032" s="309">
        <f t="shared" si="756"/>
        <v>10.2769</v>
      </c>
      <c r="E1032" s="310">
        <f t="shared" si="757"/>
        <v>10.2769</v>
      </c>
      <c r="F1032" s="311">
        <v>10.2769</v>
      </c>
      <c r="G1032" s="309">
        <v>0</v>
      </c>
      <c r="H1032" s="310">
        <v>0</v>
      </c>
      <c r="I1032" s="329">
        <f t="shared" si="758"/>
        <v>0</v>
      </c>
      <c r="J1032" s="309">
        <v>0</v>
      </c>
      <c r="K1032" s="310">
        <v>0</v>
      </c>
      <c r="L1032" s="311">
        <v>0</v>
      </c>
      <c r="M1032" s="330" t="s">
        <v>291</v>
      </c>
    </row>
    <row r="1033" s="263" customFormat="1" ht="18.75" customHeight="1" spans="1:13">
      <c r="A1033" s="306" t="s">
        <v>298</v>
      </c>
      <c r="B1033" s="307" t="s">
        <v>298</v>
      </c>
      <c r="C1033" s="308" t="s">
        <v>559</v>
      </c>
      <c r="D1033" s="309">
        <f t="shared" si="756"/>
        <v>46.0822</v>
      </c>
      <c r="E1033" s="310">
        <f t="shared" si="757"/>
        <v>46.0822</v>
      </c>
      <c r="F1033" s="311">
        <v>46.0822</v>
      </c>
      <c r="G1033" s="309">
        <v>0</v>
      </c>
      <c r="H1033" s="310">
        <v>0</v>
      </c>
      <c r="I1033" s="329">
        <f t="shared" si="758"/>
        <v>0</v>
      </c>
      <c r="J1033" s="309">
        <v>0</v>
      </c>
      <c r="K1033" s="310">
        <v>0</v>
      </c>
      <c r="L1033" s="311">
        <v>0</v>
      </c>
      <c r="M1033" s="330" t="s">
        <v>291</v>
      </c>
    </row>
    <row r="1034" s="263" customFormat="1" ht="18" customHeight="1" spans="1:13">
      <c r="A1034" s="306" t="s">
        <v>298</v>
      </c>
      <c r="B1034" s="307" t="s">
        <v>298</v>
      </c>
      <c r="C1034" s="308" t="s">
        <v>560</v>
      </c>
      <c r="D1034" s="309">
        <f t="shared" si="756"/>
        <v>273.0351</v>
      </c>
      <c r="E1034" s="310">
        <f t="shared" si="757"/>
        <v>273.0351</v>
      </c>
      <c r="F1034" s="311">
        <v>273.0351</v>
      </c>
      <c r="G1034" s="309">
        <v>0</v>
      </c>
      <c r="H1034" s="310">
        <v>0</v>
      </c>
      <c r="I1034" s="329">
        <f t="shared" si="758"/>
        <v>0</v>
      </c>
      <c r="J1034" s="309">
        <v>0</v>
      </c>
      <c r="K1034" s="310">
        <v>0</v>
      </c>
      <c r="L1034" s="311">
        <v>0</v>
      </c>
      <c r="M1034" s="330" t="s">
        <v>291</v>
      </c>
    </row>
    <row r="1035" s="263" customFormat="1" ht="18.75" customHeight="1" spans="1:13">
      <c r="A1035" s="306" t="s">
        <v>298</v>
      </c>
      <c r="B1035" s="307" t="s">
        <v>298</v>
      </c>
      <c r="C1035" s="308" t="s">
        <v>561</v>
      </c>
      <c r="D1035" s="309">
        <f t="shared" si="756"/>
        <v>166.5718</v>
      </c>
      <c r="E1035" s="310">
        <f t="shared" si="757"/>
        <v>166.5718</v>
      </c>
      <c r="F1035" s="311">
        <v>166.5718</v>
      </c>
      <c r="G1035" s="309">
        <v>0</v>
      </c>
      <c r="H1035" s="310">
        <v>0</v>
      </c>
      <c r="I1035" s="329">
        <f t="shared" si="758"/>
        <v>0</v>
      </c>
      <c r="J1035" s="309">
        <v>0</v>
      </c>
      <c r="K1035" s="310">
        <v>0</v>
      </c>
      <c r="L1035" s="311">
        <v>0</v>
      </c>
      <c r="M1035" s="330" t="s">
        <v>291</v>
      </c>
    </row>
    <row r="1036" s="263" customFormat="1" ht="18.75" customHeight="1" spans="1:13">
      <c r="A1036" s="306" t="s">
        <v>298</v>
      </c>
      <c r="B1036" s="307" t="s">
        <v>298</v>
      </c>
      <c r="C1036" s="308" t="s">
        <v>562</v>
      </c>
      <c r="D1036" s="309">
        <f t="shared" si="756"/>
        <v>42.7242</v>
      </c>
      <c r="E1036" s="310">
        <f t="shared" si="757"/>
        <v>42.7242</v>
      </c>
      <c r="F1036" s="311">
        <v>42.7242</v>
      </c>
      <c r="G1036" s="309">
        <v>0</v>
      </c>
      <c r="H1036" s="310">
        <v>0</v>
      </c>
      <c r="I1036" s="329">
        <f t="shared" si="758"/>
        <v>0</v>
      </c>
      <c r="J1036" s="309">
        <v>0</v>
      </c>
      <c r="K1036" s="310">
        <v>0</v>
      </c>
      <c r="L1036" s="311">
        <v>0</v>
      </c>
      <c r="M1036" s="330" t="s">
        <v>291</v>
      </c>
    </row>
    <row r="1037" s="263" customFormat="1" ht="18.75" customHeight="1" spans="1:13">
      <c r="A1037" s="306" t="s">
        <v>298</v>
      </c>
      <c r="B1037" s="307" t="s">
        <v>298</v>
      </c>
      <c r="C1037" s="308" t="s">
        <v>563</v>
      </c>
      <c r="D1037" s="309">
        <f t="shared" ref="D1037:D1051" si="761">E1037+I1037</f>
        <v>8.6034</v>
      </c>
      <c r="E1037" s="310">
        <f t="shared" ref="E1037:E1049" si="762">SUBTOTAL(9,F1037:H1037)</f>
        <v>8.6034</v>
      </c>
      <c r="F1037" s="311">
        <v>8.6034</v>
      </c>
      <c r="G1037" s="309">
        <v>0</v>
      </c>
      <c r="H1037" s="310">
        <v>0</v>
      </c>
      <c r="I1037" s="329">
        <f t="shared" ref="I1037:I1049" si="763">SUBTOTAL(9,J1037:L1037)</f>
        <v>0</v>
      </c>
      <c r="J1037" s="309">
        <v>0</v>
      </c>
      <c r="K1037" s="310">
        <v>0</v>
      </c>
      <c r="L1037" s="311">
        <v>0</v>
      </c>
      <c r="M1037" s="330" t="s">
        <v>291</v>
      </c>
    </row>
    <row r="1038" s="263" customFormat="1" ht="18.75" customHeight="1" spans="1:13">
      <c r="A1038" s="306" t="s">
        <v>298</v>
      </c>
      <c r="B1038" s="307" t="s">
        <v>298</v>
      </c>
      <c r="C1038" s="308" t="s">
        <v>564</v>
      </c>
      <c r="D1038" s="309">
        <f t="shared" si="761"/>
        <v>7.252</v>
      </c>
      <c r="E1038" s="310">
        <f t="shared" si="762"/>
        <v>7.252</v>
      </c>
      <c r="F1038" s="311">
        <v>7.252</v>
      </c>
      <c r="G1038" s="309">
        <v>0</v>
      </c>
      <c r="H1038" s="310">
        <v>0</v>
      </c>
      <c r="I1038" s="329">
        <f t="shared" si="763"/>
        <v>0</v>
      </c>
      <c r="J1038" s="309">
        <v>0</v>
      </c>
      <c r="K1038" s="310">
        <v>0</v>
      </c>
      <c r="L1038" s="311">
        <v>0</v>
      </c>
      <c r="M1038" s="330" t="s">
        <v>291</v>
      </c>
    </row>
    <row r="1039" s="263" customFormat="1" ht="18.75" customHeight="1" spans="1:13">
      <c r="A1039" s="306" t="s">
        <v>298</v>
      </c>
      <c r="B1039" s="307" t="s">
        <v>298</v>
      </c>
      <c r="C1039" s="308" t="s">
        <v>565</v>
      </c>
      <c r="D1039" s="309">
        <f t="shared" si="761"/>
        <v>31.4201</v>
      </c>
      <c r="E1039" s="310">
        <f t="shared" si="762"/>
        <v>31.4201</v>
      </c>
      <c r="F1039" s="311">
        <v>31.4201</v>
      </c>
      <c r="G1039" s="309">
        <v>0</v>
      </c>
      <c r="H1039" s="310">
        <v>0</v>
      </c>
      <c r="I1039" s="329">
        <f t="shared" si="763"/>
        <v>0</v>
      </c>
      <c r="J1039" s="309">
        <v>0</v>
      </c>
      <c r="K1039" s="310">
        <v>0</v>
      </c>
      <c r="L1039" s="311">
        <v>0</v>
      </c>
      <c r="M1039" s="330" t="s">
        <v>291</v>
      </c>
    </row>
    <row r="1040" s="263" customFormat="1" ht="18.75" customHeight="1" spans="1:13">
      <c r="A1040" s="306" t="s">
        <v>298</v>
      </c>
      <c r="B1040" s="307" t="s">
        <v>298</v>
      </c>
      <c r="C1040" s="308" t="s">
        <v>566</v>
      </c>
      <c r="D1040" s="309">
        <f t="shared" si="761"/>
        <v>15.6444</v>
      </c>
      <c r="E1040" s="310">
        <f t="shared" si="762"/>
        <v>15.6444</v>
      </c>
      <c r="F1040" s="311">
        <v>15.6444</v>
      </c>
      <c r="G1040" s="309">
        <v>0</v>
      </c>
      <c r="H1040" s="310">
        <v>0</v>
      </c>
      <c r="I1040" s="329">
        <f t="shared" si="763"/>
        <v>0</v>
      </c>
      <c r="J1040" s="309">
        <v>0</v>
      </c>
      <c r="K1040" s="310">
        <v>0</v>
      </c>
      <c r="L1040" s="311">
        <v>0</v>
      </c>
      <c r="M1040" s="330" t="s">
        <v>291</v>
      </c>
    </row>
    <row r="1041" s="263" customFormat="1" ht="18.75" customHeight="1" spans="1:13">
      <c r="A1041" s="306" t="s">
        <v>298</v>
      </c>
      <c r="B1041" s="307" t="s">
        <v>298</v>
      </c>
      <c r="C1041" s="308" t="s">
        <v>567</v>
      </c>
      <c r="D1041" s="309">
        <f t="shared" si="761"/>
        <v>5.1235</v>
      </c>
      <c r="E1041" s="310">
        <f t="shared" si="762"/>
        <v>5.1235</v>
      </c>
      <c r="F1041" s="311">
        <v>5.1235</v>
      </c>
      <c r="G1041" s="309">
        <v>0</v>
      </c>
      <c r="H1041" s="310">
        <v>0</v>
      </c>
      <c r="I1041" s="329">
        <f t="shared" si="763"/>
        <v>0</v>
      </c>
      <c r="J1041" s="309">
        <v>0</v>
      </c>
      <c r="K1041" s="310">
        <v>0</v>
      </c>
      <c r="L1041" s="311">
        <v>0</v>
      </c>
      <c r="M1041" s="330" t="s">
        <v>291</v>
      </c>
    </row>
    <row r="1042" s="263" customFormat="1" ht="18.75" customHeight="1" spans="1:13">
      <c r="A1042" s="306" t="s">
        <v>298</v>
      </c>
      <c r="B1042" s="307" t="s">
        <v>298</v>
      </c>
      <c r="C1042" s="308" t="s">
        <v>568</v>
      </c>
      <c r="D1042" s="309">
        <f t="shared" si="761"/>
        <v>31.0989</v>
      </c>
      <c r="E1042" s="310">
        <f t="shared" si="762"/>
        <v>31.0989</v>
      </c>
      <c r="F1042" s="311">
        <v>31.0989</v>
      </c>
      <c r="G1042" s="309">
        <v>0</v>
      </c>
      <c r="H1042" s="310">
        <v>0</v>
      </c>
      <c r="I1042" s="329">
        <f t="shared" si="763"/>
        <v>0</v>
      </c>
      <c r="J1042" s="309">
        <v>0</v>
      </c>
      <c r="K1042" s="310">
        <v>0</v>
      </c>
      <c r="L1042" s="311">
        <v>0</v>
      </c>
      <c r="M1042" s="330" t="s">
        <v>291</v>
      </c>
    </row>
    <row r="1043" s="263" customFormat="1" ht="18.75" customHeight="1" spans="1:13">
      <c r="A1043" s="306" t="s">
        <v>298</v>
      </c>
      <c r="B1043" s="307" t="s">
        <v>298</v>
      </c>
      <c r="C1043" s="308" t="s">
        <v>569</v>
      </c>
      <c r="D1043" s="309">
        <f t="shared" si="761"/>
        <v>16.4345</v>
      </c>
      <c r="E1043" s="310">
        <f t="shared" si="762"/>
        <v>16.4345</v>
      </c>
      <c r="F1043" s="311">
        <v>16.4345</v>
      </c>
      <c r="G1043" s="309">
        <v>0</v>
      </c>
      <c r="H1043" s="310">
        <v>0</v>
      </c>
      <c r="I1043" s="329">
        <f t="shared" si="763"/>
        <v>0</v>
      </c>
      <c r="J1043" s="309">
        <v>0</v>
      </c>
      <c r="K1043" s="310">
        <v>0</v>
      </c>
      <c r="L1043" s="311">
        <v>0</v>
      </c>
      <c r="M1043" s="330" t="s">
        <v>291</v>
      </c>
    </row>
    <row r="1044" s="263" customFormat="1" ht="18.75" customHeight="1" spans="1:13">
      <c r="A1044" s="306" t="s">
        <v>298</v>
      </c>
      <c r="B1044" s="307" t="s">
        <v>298</v>
      </c>
      <c r="C1044" s="308" t="s">
        <v>570</v>
      </c>
      <c r="D1044" s="309">
        <f t="shared" si="761"/>
        <v>11.1951</v>
      </c>
      <c r="E1044" s="310">
        <f t="shared" si="762"/>
        <v>11.1951</v>
      </c>
      <c r="F1044" s="311">
        <v>11.1951</v>
      </c>
      <c r="G1044" s="309">
        <v>0</v>
      </c>
      <c r="H1044" s="310">
        <v>0</v>
      </c>
      <c r="I1044" s="329">
        <f t="shared" si="763"/>
        <v>0</v>
      </c>
      <c r="J1044" s="309">
        <v>0</v>
      </c>
      <c r="K1044" s="310">
        <v>0</v>
      </c>
      <c r="L1044" s="311">
        <v>0</v>
      </c>
      <c r="M1044" s="330" t="s">
        <v>291</v>
      </c>
    </row>
    <row r="1045" s="263" customFormat="1" ht="18.75" customHeight="1" spans="1:13">
      <c r="A1045" s="306" t="s">
        <v>298</v>
      </c>
      <c r="B1045" s="307" t="s">
        <v>298</v>
      </c>
      <c r="C1045" s="308" t="s">
        <v>571</v>
      </c>
      <c r="D1045" s="309">
        <f t="shared" si="761"/>
        <v>135.7062</v>
      </c>
      <c r="E1045" s="310">
        <f t="shared" si="762"/>
        <v>135.7062</v>
      </c>
      <c r="F1045" s="311">
        <v>135.7062</v>
      </c>
      <c r="G1045" s="309">
        <v>0</v>
      </c>
      <c r="H1045" s="310">
        <v>0</v>
      </c>
      <c r="I1045" s="329">
        <f t="shared" si="763"/>
        <v>0</v>
      </c>
      <c r="J1045" s="309">
        <v>0</v>
      </c>
      <c r="K1045" s="310">
        <v>0</v>
      </c>
      <c r="L1045" s="311">
        <v>0</v>
      </c>
      <c r="M1045" s="330" t="s">
        <v>291</v>
      </c>
    </row>
    <row r="1046" s="263" customFormat="1" ht="18.75" customHeight="1" spans="1:13">
      <c r="A1046" s="306" t="s">
        <v>298</v>
      </c>
      <c r="B1046" s="307" t="s">
        <v>298</v>
      </c>
      <c r="C1046" s="308" t="s">
        <v>464</v>
      </c>
      <c r="D1046" s="309">
        <f t="shared" si="761"/>
        <v>33.2192</v>
      </c>
      <c r="E1046" s="310">
        <f t="shared" si="762"/>
        <v>33.2192</v>
      </c>
      <c r="F1046" s="311">
        <v>33.2192</v>
      </c>
      <c r="G1046" s="309">
        <v>0</v>
      </c>
      <c r="H1046" s="310">
        <v>0</v>
      </c>
      <c r="I1046" s="329">
        <f t="shared" si="763"/>
        <v>0</v>
      </c>
      <c r="J1046" s="309">
        <v>0</v>
      </c>
      <c r="K1046" s="310">
        <v>0</v>
      </c>
      <c r="L1046" s="311">
        <v>0</v>
      </c>
      <c r="M1046" s="330" t="s">
        <v>291</v>
      </c>
    </row>
    <row r="1047" s="263" customFormat="1" ht="18.75" customHeight="1" spans="1:13">
      <c r="A1047" s="306" t="s">
        <v>298</v>
      </c>
      <c r="B1047" s="307" t="s">
        <v>298</v>
      </c>
      <c r="C1047" s="308" t="s">
        <v>572</v>
      </c>
      <c r="D1047" s="309">
        <f t="shared" si="761"/>
        <v>26.2866</v>
      </c>
      <c r="E1047" s="310">
        <f t="shared" si="762"/>
        <v>26.2866</v>
      </c>
      <c r="F1047" s="311">
        <v>26.2866</v>
      </c>
      <c r="G1047" s="309">
        <v>0</v>
      </c>
      <c r="H1047" s="310">
        <v>0</v>
      </c>
      <c r="I1047" s="329">
        <f t="shared" si="763"/>
        <v>0</v>
      </c>
      <c r="J1047" s="309">
        <v>0</v>
      </c>
      <c r="K1047" s="310">
        <v>0</v>
      </c>
      <c r="L1047" s="311">
        <v>0</v>
      </c>
      <c r="M1047" s="330" t="s">
        <v>291</v>
      </c>
    </row>
    <row r="1048" s="263" customFormat="1" ht="18.75" customHeight="1" spans="1:13">
      <c r="A1048" s="306" t="s">
        <v>298</v>
      </c>
      <c r="B1048" s="307" t="s">
        <v>298</v>
      </c>
      <c r="C1048" s="308" t="s">
        <v>573</v>
      </c>
      <c r="D1048" s="309">
        <f t="shared" si="761"/>
        <v>14.1038</v>
      </c>
      <c r="E1048" s="310">
        <f t="shared" si="762"/>
        <v>14.1038</v>
      </c>
      <c r="F1048" s="311">
        <v>14.1038</v>
      </c>
      <c r="G1048" s="309">
        <v>0</v>
      </c>
      <c r="H1048" s="310">
        <v>0</v>
      </c>
      <c r="I1048" s="329">
        <f t="shared" si="763"/>
        <v>0</v>
      </c>
      <c r="J1048" s="309">
        <v>0</v>
      </c>
      <c r="K1048" s="310">
        <v>0</v>
      </c>
      <c r="L1048" s="311">
        <v>0</v>
      </c>
      <c r="M1048" s="330" t="s">
        <v>291</v>
      </c>
    </row>
    <row r="1049" s="263" customFormat="1" ht="18.75" customHeight="1" spans="1:13">
      <c r="A1049" s="306" t="s">
        <v>298</v>
      </c>
      <c r="B1049" s="307" t="s">
        <v>298</v>
      </c>
      <c r="C1049" s="308" t="s">
        <v>574</v>
      </c>
      <c r="D1049" s="309">
        <f t="shared" si="761"/>
        <v>7.6359</v>
      </c>
      <c r="E1049" s="310">
        <f t="shared" si="762"/>
        <v>7.6359</v>
      </c>
      <c r="F1049" s="311">
        <v>7.6359</v>
      </c>
      <c r="G1049" s="309">
        <v>0</v>
      </c>
      <c r="H1049" s="310">
        <v>0</v>
      </c>
      <c r="I1049" s="329">
        <f t="shared" si="763"/>
        <v>0</v>
      </c>
      <c r="J1049" s="309">
        <v>0</v>
      </c>
      <c r="K1049" s="310">
        <v>0</v>
      </c>
      <c r="L1049" s="311">
        <v>0</v>
      </c>
      <c r="M1049" s="330" t="s">
        <v>291</v>
      </c>
    </row>
    <row r="1050" s="263" customFormat="1" ht="18.75" customHeight="1" spans="1:13">
      <c r="A1050" s="306"/>
      <c r="B1050" s="307"/>
      <c r="C1050" s="308" t="s">
        <v>301</v>
      </c>
      <c r="D1050" s="309">
        <f t="shared" si="761"/>
        <v>970.1372</v>
      </c>
      <c r="E1050" s="310">
        <f>SUM(F1050:H1050)</f>
        <v>970.1372</v>
      </c>
      <c r="F1050" s="310">
        <v>970.1372</v>
      </c>
      <c r="G1050" s="309"/>
      <c r="H1050" s="310"/>
      <c r="I1050" s="329"/>
      <c r="J1050" s="309"/>
      <c r="K1050" s="310"/>
      <c r="L1050" s="311"/>
      <c r="M1050" s="330"/>
    </row>
    <row r="1051" s="263" customFormat="1" ht="18.75" customHeight="1" spans="1:13">
      <c r="A1051" s="306" t="s">
        <v>298</v>
      </c>
      <c r="B1051" s="307" t="s">
        <v>298</v>
      </c>
      <c r="C1051" s="308" t="s">
        <v>575</v>
      </c>
      <c r="D1051" s="309">
        <f t="shared" si="761"/>
        <v>23.966</v>
      </c>
      <c r="E1051" s="310">
        <f t="shared" ref="E1051:E1055" si="764">SUBTOTAL(9,F1051:H1051)</f>
        <v>23.966</v>
      </c>
      <c r="F1051" s="311">
        <v>23.966</v>
      </c>
      <c r="G1051" s="309">
        <v>0</v>
      </c>
      <c r="H1051" s="310">
        <v>0</v>
      </c>
      <c r="I1051" s="329">
        <f t="shared" ref="I1051:I1055" si="765">SUBTOTAL(9,J1051:L1051)</f>
        <v>0</v>
      </c>
      <c r="J1051" s="309">
        <v>0</v>
      </c>
      <c r="K1051" s="310">
        <v>0</v>
      </c>
      <c r="L1051" s="311">
        <v>0</v>
      </c>
      <c r="M1051" s="330" t="s">
        <v>291</v>
      </c>
    </row>
    <row r="1052" s="263" customFormat="1" ht="18.75" customHeight="1" spans="1:13">
      <c r="A1052" s="294" t="s">
        <v>1566</v>
      </c>
      <c r="B1052" s="295" t="s">
        <v>1567</v>
      </c>
      <c r="C1052" s="296"/>
      <c r="D1052" s="297">
        <f t="shared" ref="D1052:L1052" si="766">D1053</f>
        <v>61.9554</v>
      </c>
      <c r="E1052" s="298">
        <f t="shared" si="766"/>
        <v>56.0754</v>
      </c>
      <c r="F1052" s="299">
        <f t="shared" si="766"/>
        <v>50.4817</v>
      </c>
      <c r="G1052" s="297">
        <f t="shared" si="766"/>
        <v>1.44</v>
      </c>
      <c r="H1052" s="298">
        <f t="shared" si="766"/>
        <v>4.1537</v>
      </c>
      <c r="I1052" s="325">
        <f t="shared" si="766"/>
        <v>5.88</v>
      </c>
      <c r="J1052" s="297">
        <f t="shared" si="766"/>
        <v>5.88</v>
      </c>
      <c r="K1052" s="298">
        <f t="shared" si="766"/>
        <v>0</v>
      </c>
      <c r="L1052" s="299">
        <f t="shared" si="766"/>
        <v>0</v>
      </c>
      <c r="M1052" s="326" t="s">
        <v>291</v>
      </c>
    </row>
    <row r="1053" s="263" customFormat="1" ht="22" customHeight="1" spans="1:13">
      <c r="A1053" s="300" t="s">
        <v>1568</v>
      </c>
      <c r="B1053" s="301" t="s">
        <v>1569</v>
      </c>
      <c r="C1053" s="302"/>
      <c r="D1053" s="303">
        <f t="shared" ref="D1053:L1053" si="767">SUM(D1054:D1055)</f>
        <v>61.9554</v>
      </c>
      <c r="E1053" s="304">
        <f t="shared" si="767"/>
        <v>56.0754</v>
      </c>
      <c r="F1053" s="305">
        <f t="shared" si="767"/>
        <v>50.4817</v>
      </c>
      <c r="G1053" s="303">
        <f t="shared" si="767"/>
        <v>1.44</v>
      </c>
      <c r="H1053" s="304">
        <f t="shared" si="767"/>
        <v>4.1537</v>
      </c>
      <c r="I1053" s="327">
        <f t="shared" si="767"/>
        <v>5.88</v>
      </c>
      <c r="J1053" s="303">
        <f t="shared" si="767"/>
        <v>5.88</v>
      </c>
      <c r="K1053" s="304">
        <f t="shared" si="767"/>
        <v>0</v>
      </c>
      <c r="L1053" s="305">
        <f t="shared" si="767"/>
        <v>0</v>
      </c>
      <c r="M1053" s="328" t="s">
        <v>291</v>
      </c>
    </row>
    <row r="1054" s="263" customFormat="1" ht="18.75" customHeight="1" spans="1:13">
      <c r="A1054" s="306" t="s">
        <v>298</v>
      </c>
      <c r="B1054" s="307" t="s">
        <v>298</v>
      </c>
      <c r="C1054" s="308" t="s">
        <v>546</v>
      </c>
      <c r="D1054" s="309">
        <f t="shared" ref="D1054:D1059" si="768">E1054+I1054</f>
        <v>5.88</v>
      </c>
      <c r="E1054" s="310">
        <f t="shared" si="764"/>
        <v>0</v>
      </c>
      <c r="F1054" s="311">
        <v>0</v>
      </c>
      <c r="G1054" s="309">
        <v>0</v>
      </c>
      <c r="H1054" s="310">
        <v>0</v>
      </c>
      <c r="I1054" s="329">
        <f t="shared" si="765"/>
        <v>5.88</v>
      </c>
      <c r="J1054" s="309">
        <v>5.88</v>
      </c>
      <c r="K1054" s="310">
        <v>0</v>
      </c>
      <c r="L1054" s="311">
        <v>0</v>
      </c>
      <c r="M1054" s="330" t="s">
        <v>1570</v>
      </c>
    </row>
    <row r="1055" s="263" customFormat="1" ht="18.75" customHeight="1" spans="1:13">
      <c r="A1055" s="306" t="s">
        <v>298</v>
      </c>
      <c r="B1055" s="307" t="s">
        <v>298</v>
      </c>
      <c r="C1055" s="308" t="s">
        <v>547</v>
      </c>
      <c r="D1055" s="309">
        <f t="shared" si="768"/>
        <v>56.0754</v>
      </c>
      <c r="E1055" s="310">
        <f t="shared" si="764"/>
        <v>56.0754</v>
      </c>
      <c r="F1055" s="311">
        <v>50.4817</v>
      </c>
      <c r="G1055" s="309">
        <v>1.44</v>
      </c>
      <c r="H1055" s="310">
        <v>4.1537</v>
      </c>
      <c r="I1055" s="329">
        <f t="shared" si="765"/>
        <v>0</v>
      </c>
      <c r="J1055" s="309">
        <v>0</v>
      </c>
      <c r="K1055" s="310">
        <v>0</v>
      </c>
      <c r="L1055" s="311">
        <v>0</v>
      </c>
      <c r="M1055" s="330" t="s">
        <v>291</v>
      </c>
    </row>
    <row r="1056" s="263" customFormat="1" ht="18.75" customHeight="1" spans="1:13">
      <c r="A1056" s="288" t="s">
        <v>1571</v>
      </c>
      <c r="B1056" s="289" t="s">
        <v>1572</v>
      </c>
      <c r="C1056" s="290"/>
      <c r="D1056" s="291">
        <f t="shared" ref="D1056:L1056" si="769">D1057+D1070</f>
        <v>348.3079</v>
      </c>
      <c r="E1056" s="292">
        <f t="shared" si="769"/>
        <v>210.7579</v>
      </c>
      <c r="F1056" s="293">
        <f t="shared" si="769"/>
        <v>149.9293</v>
      </c>
      <c r="G1056" s="291">
        <f t="shared" si="769"/>
        <v>4.8</v>
      </c>
      <c r="H1056" s="292">
        <f t="shared" si="769"/>
        <v>56.0286</v>
      </c>
      <c r="I1056" s="323">
        <f t="shared" si="769"/>
        <v>137.55</v>
      </c>
      <c r="J1056" s="291">
        <f t="shared" si="769"/>
        <v>78.82</v>
      </c>
      <c r="K1056" s="292">
        <f t="shared" si="769"/>
        <v>58.73</v>
      </c>
      <c r="L1056" s="293">
        <f t="shared" si="769"/>
        <v>0</v>
      </c>
      <c r="M1056" s="324" t="s">
        <v>291</v>
      </c>
    </row>
    <row r="1057" s="263" customFormat="1" ht="18.75" customHeight="1" spans="1:13">
      <c r="A1057" s="294" t="s">
        <v>1573</v>
      </c>
      <c r="B1057" s="295" t="s">
        <v>1574</v>
      </c>
      <c r="C1057" s="296"/>
      <c r="D1057" s="297">
        <f t="shared" ref="D1057:L1057" si="770">D1058+D1060+D1062+D1064+D1066+D1068</f>
        <v>289.5779</v>
      </c>
      <c r="E1057" s="298">
        <f t="shared" si="770"/>
        <v>210.7579</v>
      </c>
      <c r="F1057" s="299">
        <f t="shared" si="770"/>
        <v>149.9293</v>
      </c>
      <c r="G1057" s="297">
        <f t="shared" si="770"/>
        <v>4.8</v>
      </c>
      <c r="H1057" s="298">
        <f t="shared" si="770"/>
        <v>56.0286</v>
      </c>
      <c r="I1057" s="325">
        <f t="shared" si="770"/>
        <v>78.82</v>
      </c>
      <c r="J1057" s="297">
        <f t="shared" si="770"/>
        <v>78.82</v>
      </c>
      <c r="K1057" s="298">
        <f t="shared" si="770"/>
        <v>0</v>
      </c>
      <c r="L1057" s="299">
        <f t="shared" si="770"/>
        <v>0</v>
      </c>
      <c r="M1057" s="326" t="s">
        <v>291</v>
      </c>
    </row>
    <row r="1058" s="263" customFormat="1" ht="22" customHeight="1" spans="1:13">
      <c r="A1058" s="300" t="s">
        <v>1575</v>
      </c>
      <c r="B1058" s="301" t="s">
        <v>1576</v>
      </c>
      <c r="C1058" s="302"/>
      <c r="D1058" s="303">
        <f t="shared" ref="D1058:L1058" si="771">D1059</f>
        <v>2.16</v>
      </c>
      <c r="E1058" s="304">
        <f t="shared" si="771"/>
        <v>0</v>
      </c>
      <c r="F1058" s="305">
        <f t="shared" si="771"/>
        <v>0</v>
      </c>
      <c r="G1058" s="303">
        <f t="shared" si="771"/>
        <v>0</v>
      </c>
      <c r="H1058" s="304">
        <f t="shared" si="771"/>
        <v>0</v>
      </c>
      <c r="I1058" s="327">
        <f t="shared" si="771"/>
        <v>2.16</v>
      </c>
      <c r="J1058" s="303">
        <f t="shared" si="771"/>
        <v>2.16</v>
      </c>
      <c r="K1058" s="304">
        <f t="shared" si="771"/>
        <v>0</v>
      </c>
      <c r="L1058" s="305">
        <f t="shared" si="771"/>
        <v>0</v>
      </c>
      <c r="M1058" s="328" t="s">
        <v>291</v>
      </c>
    </row>
    <row r="1059" s="263" customFormat="1" ht="25" customHeight="1" spans="1:13">
      <c r="A1059" s="306" t="s">
        <v>298</v>
      </c>
      <c r="B1059" s="307" t="s">
        <v>298</v>
      </c>
      <c r="C1059" s="308" t="s">
        <v>387</v>
      </c>
      <c r="D1059" s="309">
        <f t="shared" si="768"/>
        <v>2.16</v>
      </c>
      <c r="E1059" s="310">
        <f t="shared" ref="E1059:E1063" si="772">SUBTOTAL(9,F1059:H1059)</f>
        <v>0</v>
      </c>
      <c r="F1059" s="311">
        <v>0</v>
      </c>
      <c r="G1059" s="309">
        <v>0</v>
      </c>
      <c r="H1059" s="310">
        <v>0</v>
      </c>
      <c r="I1059" s="329">
        <f t="shared" ref="I1059:I1063" si="773">SUBTOTAL(9,J1059:L1059)</f>
        <v>2.16</v>
      </c>
      <c r="J1059" s="309">
        <v>2.16</v>
      </c>
      <c r="K1059" s="310">
        <v>0</v>
      </c>
      <c r="L1059" s="311">
        <v>0</v>
      </c>
      <c r="M1059" s="330" t="s">
        <v>1577</v>
      </c>
    </row>
    <row r="1060" s="263" customFormat="1" ht="22" customHeight="1" spans="1:13">
      <c r="A1060" s="300" t="s">
        <v>1578</v>
      </c>
      <c r="B1060" s="301" t="s">
        <v>1579</v>
      </c>
      <c r="C1060" s="302"/>
      <c r="D1060" s="303">
        <f t="shared" ref="D1060:L1060" si="774">D1061</f>
        <v>1.6</v>
      </c>
      <c r="E1060" s="304">
        <f t="shared" si="774"/>
        <v>0</v>
      </c>
      <c r="F1060" s="305">
        <f t="shared" si="774"/>
        <v>0</v>
      </c>
      <c r="G1060" s="303">
        <f t="shared" si="774"/>
        <v>0</v>
      </c>
      <c r="H1060" s="304">
        <f t="shared" si="774"/>
        <v>0</v>
      </c>
      <c r="I1060" s="327">
        <f t="shared" si="774"/>
        <v>1.6</v>
      </c>
      <c r="J1060" s="303">
        <f t="shared" si="774"/>
        <v>1.6</v>
      </c>
      <c r="K1060" s="304">
        <f t="shared" si="774"/>
        <v>0</v>
      </c>
      <c r="L1060" s="305">
        <f t="shared" si="774"/>
        <v>0</v>
      </c>
      <c r="M1060" s="328" t="s">
        <v>291</v>
      </c>
    </row>
    <row r="1061" s="263" customFormat="1" ht="18.75" customHeight="1" spans="1:13">
      <c r="A1061" s="306" t="s">
        <v>298</v>
      </c>
      <c r="B1061" s="307" t="s">
        <v>298</v>
      </c>
      <c r="C1061" s="308" t="s">
        <v>387</v>
      </c>
      <c r="D1061" s="309">
        <f t="shared" ref="D1061:D1065" si="775">E1061+I1061</f>
        <v>1.6</v>
      </c>
      <c r="E1061" s="310">
        <f t="shared" si="772"/>
        <v>0</v>
      </c>
      <c r="F1061" s="311">
        <v>0</v>
      </c>
      <c r="G1061" s="309">
        <v>0</v>
      </c>
      <c r="H1061" s="310">
        <v>0</v>
      </c>
      <c r="I1061" s="329">
        <f t="shared" si="773"/>
        <v>1.6</v>
      </c>
      <c r="J1061" s="309">
        <v>1.6</v>
      </c>
      <c r="K1061" s="310">
        <v>0</v>
      </c>
      <c r="L1061" s="311">
        <v>0</v>
      </c>
      <c r="M1061" s="330" t="s">
        <v>1580</v>
      </c>
    </row>
    <row r="1062" s="263" customFormat="1" ht="22" customHeight="1" spans="1:13">
      <c r="A1062" s="300" t="s">
        <v>1581</v>
      </c>
      <c r="B1062" s="301" t="s">
        <v>1582</v>
      </c>
      <c r="C1062" s="302"/>
      <c r="D1062" s="303">
        <f t="shared" ref="D1062:L1062" si="776">D1063</f>
        <v>5.18</v>
      </c>
      <c r="E1062" s="304">
        <f t="shared" si="776"/>
        <v>0</v>
      </c>
      <c r="F1062" s="305">
        <f t="shared" si="776"/>
        <v>0</v>
      </c>
      <c r="G1062" s="303">
        <f t="shared" si="776"/>
        <v>0</v>
      </c>
      <c r="H1062" s="304">
        <f t="shared" si="776"/>
        <v>0</v>
      </c>
      <c r="I1062" s="327">
        <f t="shared" si="776"/>
        <v>5.18</v>
      </c>
      <c r="J1062" s="303">
        <f t="shared" si="776"/>
        <v>5.18</v>
      </c>
      <c r="K1062" s="304">
        <f t="shared" si="776"/>
        <v>0</v>
      </c>
      <c r="L1062" s="305">
        <f t="shared" si="776"/>
        <v>0</v>
      </c>
      <c r="M1062" s="328" t="s">
        <v>291</v>
      </c>
    </row>
    <row r="1063" s="263" customFormat="1" ht="25" customHeight="1" spans="1:13">
      <c r="A1063" s="306" t="s">
        <v>298</v>
      </c>
      <c r="B1063" s="307" t="s">
        <v>298</v>
      </c>
      <c r="C1063" s="308" t="s">
        <v>387</v>
      </c>
      <c r="D1063" s="309">
        <f t="shared" si="775"/>
        <v>5.18</v>
      </c>
      <c r="E1063" s="310">
        <f t="shared" si="772"/>
        <v>0</v>
      </c>
      <c r="F1063" s="311">
        <v>0</v>
      </c>
      <c r="G1063" s="309">
        <v>0</v>
      </c>
      <c r="H1063" s="310">
        <v>0</v>
      </c>
      <c r="I1063" s="329">
        <f t="shared" si="773"/>
        <v>5.18</v>
      </c>
      <c r="J1063" s="309">
        <v>5.18</v>
      </c>
      <c r="K1063" s="310">
        <v>0</v>
      </c>
      <c r="L1063" s="311">
        <v>0</v>
      </c>
      <c r="M1063" s="330" t="s">
        <v>1583</v>
      </c>
    </row>
    <row r="1064" s="263" customFormat="1" ht="22" customHeight="1" spans="1:13">
      <c r="A1064" s="300" t="s">
        <v>1584</v>
      </c>
      <c r="B1064" s="301" t="s">
        <v>1585</v>
      </c>
      <c r="C1064" s="302"/>
      <c r="D1064" s="303">
        <f t="shared" ref="D1064:L1064" si="777">D1065</f>
        <v>4</v>
      </c>
      <c r="E1064" s="304">
        <f t="shared" si="777"/>
        <v>0</v>
      </c>
      <c r="F1064" s="305">
        <f t="shared" si="777"/>
        <v>0</v>
      </c>
      <c r="G1064" s="303">
        <f t="shared" si="777"/>
        <v>0</v>
      </c>
      <c r="H1064" s="304">
        <f t="shared" si="777"/>
        <v>0</v>
      </c>
      <c r="I1064" s="327">
        <f t="shared" si="777"/>
        <v>4</v>
      </c>
      <c r="J1064" s="303">
        <f t="shared" si="777"/>
        <v>4</v>
      </c>
      <c r="K1064" s="304">
        <f t="shared" si="777"/>
        <v>0</v>
      </c>
      <c r="L1064" s="305">
        <f t="shared" si="777"/>
        <v>0</v>
      </c>
      <c r="M1064" s="328" t="s">
        <v>291</v>
      </c>
    </row>
    <row r="1065" s="263" customFormat="1" ht="18.75" customHeight="1" spans="1:13">
      <c r="A1065" s="306" t="s">
        <v>298</v>
      </c>
      <c r="B1065" s="307" t="s">
        <v>298</v>
      </c>
      <c r="C1065" s="308" t="s">
        <v>387</v>
      </c>
      <c r="D1065" s="309">
        <f t="shared" si="775"/>
        <v>4</v>
      </c>
      <c r="E1065" s="310">
        <f t="shared" ref="E1065:E1069" si="778">SUBTOTAL(9,F1065:H1065)</f>
        <v>0</v>
      </c>
      <c r="F1065" s="311">
        <v>0</v>
      </c>
      <c r="G1065" s="309">
        <v>0</v>
      </c>
      <c r="H1065" s="310">
        <v>0</v>
      </c>
      <c r="I1065" s="329">
        <f t="shared" ref="I1065:I1069" si="779">SUBTOTAL(9,J1065:L1065)</f>
        <v>4</v>
      </c>
      <c r="J1065" s="309">
        <v>4</v>
      </c>
      <c r="K1065" s="310">
        <v>0</v>
      </c>
      <c r="L1065" s="311">
        <v>0</v>
      </c>
      <c r="M1065" s="330" t="s">
        <v>1586</v>
      </c>
    </row>
    <row r="1066" s="263" customFormat="1" ht="22" customHeight="1" spans="1:13">
      <c r="A1066" s="300" t="s">
        <v>1587</v>
      </c>
      <c r="B1066" s="301" t="s">
        <v>1588</v>
      </c>
      <c r="C1066" s="302"/>
      <c r="D1066" s="303">
        <f t="shared" ref="D1066:L1066" si="780">D1067</f>
        <v>210.7579</v>
      </c>
      <c r="E1066" s="304">
        <f t="shared" si="780"/>
        <v>210.7579</v>
      </c>
      <c r="F1066" s="305">
        <f t="shared" si="780"/>
        <v>149.9293</v>
      </c>
      <c r="G1066" s="303">
        <f t="shared" si="780"/>
        <v>4.8</v>
      </c>
      <c r="H1066" s="304">
        <f t="shared" si="780"/>
        <v>56.0286</v>
      </c>
      <c r="I1066" s="327">
        <f t="shared" si="780"/>
        <v>0</v>
      </c>
      <c r="J1066" s="303">
        <f t="shared" si="780"/>
        <v>0</v>
      </c>
      <c r="K1066" s="304">
        <f t="shared" si="780"/>
        <v>0</v>
      </c>
      <c r="L1066" s="305">
        <f t="shared" si="780"/>
        <v>0</v>
      </c>
      <c r="M1066" s="328" t="s">
        <v>291</v>
      </c>
    </row>
    <row r="1067" s="263" customFormat="1" ht="18.75" customHeight="1" spans="1:13">
      <c r="A1067" s="306" t="s">
        <v>298</v>
      </c>
      <c r="B1067" s="307" t="s">
        <v>298</v>
      </c>
      <c r="C1067" s="308" t="s">
        <v>387</v>
      </c>
      <c r="D1067" s="309">
        <f t="shared" ref="D1067:D1072" si="781">E1067+I1067</f>
        <v>210.7579</v>
      </c>
      <c r="E1067" s="310">
        <f t="shared" si="778"/>
        <v>210.7579</v>
      </c>
      <c r="F1067" s="311">
        <v>149.9293</v>
      </c>
      <c r="G1067" s="309">
        <v>4.8</v>
      </c>
      <c r="H1067" s="310">
        <v>56.0286</v>
      </c>
      <c r="I1067" s="329">
        <f t="shared" si="779"/>
        <v>0</v>
      </c>
      <c r="J1067" s="309">
        <v>0</v>
      </c>
      <c r="K1067" s="310">
        <v>0</v>
      </c>
      <c r="L1067" s="311">
        <v>0</v>
      </c>
      <c r="M1067" s="330" t="s">
        <v>291</v>
      </c>
    </row>
    <row r="1068" s="263" customFormat="1" ht="22" customHeight="1" spans="1:13">
      <c r="A1068" s="300" t="s">
        <v>1589</v>
      </c>
      <c r="B1068" s="301" t="s">
        <v>1590</v>
      </c>
      <c r="C1068" s="302"/>
      <c r="D1068" s="303">
        <f t="shared" ref="D1068:L1068" si="782">D1069</f>
        <v>65.88</v>
      </c>
      <c r="E1068" s="304">
        <f t="shared" si="782"/>
        <v>0</v>
      </c>
      <c r="F1068" s="305">
        <f t="shared" si="782"/>
        <v>0</v>
      </c>
      <c r="G1068" s="303">
        <f t="shared" si="782"/>
        <v>0</v>
      </c>
      <c r="H1068" s="304">
        <f t="shared" si="782"/>
        <v>0</v>
      </c>
      <c r="I1068" s="327">
        <f t="shared" si="782"/>
        <v>65.88</v>
      </c>
      <c r="J1068" s="303">
        <f t="shared" si="782"/>
        <v>65.88</v>
      </c>
      <c r="K1068" s="304">
        <f t="shared" si="782"/>
        <v>0</v>
      </c>
      <c r="L1068" s="305">
        <f t="shared" si="782"/>
        <v>0</v>
      </c>
      <c r="M1068" s="328" t="s">
        <v>291</v>
      </c>
    </row>
    <row r="1069" s="263" customFormat="1" ht="26" customHeight="1" spans="1:13">
      <c r="A1069" s="306" t="s">
        <v>298</v>
      </c>
      <c r="B1069" s="307" t="s">
        <v>298</v>
      </c>
      <c r="C1069" s="308" t="s">
        <v>387</v>
      </c>
      <c r="D1069" s="309">
        <f t="shared" si="781"/>
        <v>65.88</v>
      </c>
      <c r="E1069" s="310">
        <f t="shared" si="778"/>
        <v>0</v>
      </c>
      <c r="F1069" s="311">
        <v>0</v>
      </c>
      <c r="G1069" s="309">
        <v>0</v>
      </c>
      <c r="H1069" s="310">
        <v>0</v>
      </c>
      <c r="I1069" s="329">
        <f t="shared" si="779"/>
        <v>65.88</v>
      </c>
      <c r="J1069" s="309">
        <v>65.88</v>
      </c>
      <c r="K1069" s="310">
        <v>0</v>
      </c>
      <c r="L1069" s="311">
        <v>0</v>
      </c>
      <c r="M1069" s="330" t="s">
        <v>1591</v>
      </c>
    </row>
    <row r="1070" s="263" customFormat="1" ht="18.75" customHeight="1" spans="1:13">
      <c r="A1070" s="294" t="s">
        <v>1592</v>
      </c>
      <c r="B1070" s="295" t="s">
        <v>1593</v>
      </c>
      <c r="C1070" s="296"/>
      <c r="D1070" s="297">
        <f t="shared" ref="D1070:L1070" si="783">D1071</f>
        <v>58.73</v>
      </c>
      <c r="E1070" s="298">
        <f t="shared" si="783"/>
        <v>0</v>
      </c>
      <c r="F1070" s="299">
        <f t="shared" si="783"/>
        <v>0</v>
      </c>
      <c r="G1070" s="297">
        <f t="shared" si="783"/>
        <v>0</v>
      </c>
      <c r="H1070" s="298">
        <f t="shared" si="783"/>
        <v>0</v>
      </c>
      <c r="I1070" s="325">
        <f t="shared" si="783"/>
        <v>58.73</v>
      </c>
      <c r="J1070" s="297">
        <f t="shared" si="783"/>
        <v>0</v>
      </c>
      <c r="K1070" s="298">
        <f t="shared" si="783"/>
        <v>58.73</v>
      </c>
      <c r="L1070" s="299">
        <f t="shared" si="783"/>
        <v>0</v>
      </c>
      <c r="M1070" s="326" t="s">
        <v>291</v>
      </c>
    </row>
    <row r="1071" s="263" customFormat="1" ht="22" customHeight="1" spans="1:13">
      <c r="A1071" s="300" t="s">
        <v>1594</v>
      </c>
      <c r="B1071" s="301" t="s">
        <v>1595</v>
      </c>
      <c r="C1071" s="302"/>
      <c r="D1071" s="303">
        <f t="shared" ref="D1071:L1071" si="784">D1072</f>
        <v>58.73</v>
      </c>
      <c r="E1071" s="304">
        <f t="shared" si="784"/>
        <v>0</v>
      </c>
      <c r="F1071" s="305">
        <f t="shared" si="784"/>
        <v>0</v>
      </c>
      <c r="G1071" s="303">
        <f t="shared" si="784"/>
        <v>0</v>
      </c>
      <c r="H1071" s="304">
        <f t="shared" si="784"/>
        <v>0</v>
      </c>
      <c r="I1071" s="327">
        <f t="shared" si="784"/>
        <v>58.73</v>
      </c>
      <c r="J1071" s="303">
        <f t="shared" si="784"/>
        <v>0</v>
      </c>
      <c r="K1071" s="304">
        <f t="shared" si="784"/>
        <v>58.73</v>
      </c>
      <c r="L1071" s="305">
        <f t="shared" si="784"/>
        <v>0</v>
      </c>
      <c r="M1071" s="328" t="s">
        <v>291</v>
      </c>
    </row>
    <row r="1072" s="263" customFormat="1" ht="21" customHeight="1" spans="1:13">
      <c r="A1072" s="306" t="s">
        <v>298</v>
      </c>
      <c r="B1072" s="307" t="s">
        <v>298</v>
      </c>
      <c r="C1072" s="308"/>
      <c r="D1072" s="309">
        <f t="shared" si="781"/>
        <v>58.73</v>
      </c>
      <c r="E1072" s="310">
        <f>SUBTOTAL(9,F1072:H1072)</f>
        <v>0</v>
      </c>
      <c r="F1072" s="311">
        <v>0</v>
      </c>
      <c r="G1072" s="309">
        <v>0</v>
      </c>
      <c r="H1072" s="310">
        <v>0</v>
      </c>
      <c r="I1072" s="329">
        <f>SUBTOTAL(9,J1072:L1072)</f>
        <v>58.73</v>
      </c>
      <c r="J1072" s="309">
        <v>0</v>
      </c>
      <c r="K1072" s="310">
        <v>58.73</v>
      </c>
      <c r="L1072" s="311">
        <v>0</v>
      </c>
      <c r="M1072" s="330" t="s">
        <v>1596</v>
      </c>
    </row>
    <row r="1073" s="263" customFormat="1" ht="19" customHeight="1" spans="1:13">
      <c r="A1073" s="288" t="s">
        <v>1597</v>
      </c>
      <c r="B1073" s="289" t="s">
        <v>1598</v>
      </c>
      <c r="C1073" s="290"/>
      <c r="D1073" s="291">
        <f t="shared" ref="D1073:L1073" si="785">D1074</f>
        <v>0</v>
      </c>
      <c r="E1073" s="292">
        <f t="shared" si="785"/>
        <v>0</v>
      </c>
      <c r="F1073" s="293">
        <f t="shared" si="785"/>
        <v>0</v>
      </c>
      <c r="G1073" s="291">
        <f t="shared" si="785"/>
        <v>0</v>
      </c>
      <c r="H1073" s="292">
        <f t="shared" si="785"/>
        <v>0</v>
      </c>
      <c r="I1073" s="323">
        <f t="shared" si="785"/>
        <v>0</v>
      </c>
      <c r="J1073" s="291">
        <f t="shared" si="785"/>
        <v>0</v>
      </c>
      <c r="K1073" s="292">
        <f t="shared" si="785"/>
        <v>0</v>
      </c>
      <c r="L1073" s="293">
        <f t="shared" si="785"/>
        <v>0</v>
      </c>
      <c r="M1073" s="324" t="s">
        <v>291</v>
      </c>
    </row>
    <row r="1074" s="263" customFormat="1" ht="27" customHeight="1" spans="1:13">
      <c r="A1074" s="294" t="s">
        <v>1599</v>
      </c>
      <c r="B1074" s="295" t="s">
        <v>1600</v>
      </c>
      <c r="C1074" s="296"/>
      <c r="D1074" s="297">
        <f t="shared" ref="D1074:L1074" si="786">D1075</f>
        <v>0</v>
      </c>
      <c r="E1074" s="298">
        <f t="shared" si="786"/>
        <v>0</v>
      </c>
      <c r="F1074" s="299">
        <f t="shared" si="786"/>
        <v>0</v>
      </c>
      <c r="G1074" s="297">
        <f t="shared" si="786"/>
        <v>0</v>
      </c>
      <c r="H1074" s="298">
        <f t="shared" si="786"/>
        <v>0</v>
      </c>
      <c r="I1074" s="325">
        <f t="shared" si="786"/>
        <v>0</v>
      </c>
      <c r="J1074" s="297">
        <f t="shared" si="786"/>
        <v>0</v>
      </c>
      <c r="K1074" s="298">
        <f t="shared" si="786"/>
        <v>0</v>
      </c>
      <c r="L1074" s="299">
        <f t="shared" si="786"/>
        <v>0</v>
      </c>
      <c r="M1074" s="326" t="s">
        <v>291</v>
      </c>
    </row>
    <row r="1075" s="263" customFormat="1" ht="33" customHeight="1" spans="1:13">
      <c r="A1075" s="300" t="s">
        <v>1601</v>
      </c>
      <c r="B1075" s="301" t="s">
        <v>1602</v>
      </c>
      <c r="C1075" s="302"/>
      <c r="D1075" s="303">
        <f t="shared" ref="D1075:L1075" si="787">D1076</f>
        <v>0</v>
      </c>
      <c r="E1075" s="304">
        <f t="shared" si="787"/>
        <v>0</v>
      </c>
      <c r="F1075" s="305">
        <f t="shared" si="787"/>
        <v>0</v>
      </c>
      <c r="G1075" s="303">
        <f t="shared" si="787"/>
        <v>0</v>
      </c>
      <c r="H1075" s="304">
        <f t="shared" si="787"/>
        <v>0</v>
      </c>
      <c r="I1075" s="327">
        <f t="shared" si="787"/>
        <v>0</v>
      </c>
      <c r="J1075" s="303">
        <f t="shared" si="787"/>
        <v>0</v>
      </c>
      <c r="K1075" s="304">
        <f t="shared" si="787"/>
        <v>0</v>
      </c>
      <c r="L1075" s="305">
        <f t="shared" si="787"/>
        <v>0</v>
      </c>
      <c r="M1075" s="328" t="s">
        <v>291</v>
      </c>
    </row>
    <row r="1076" s="263" customFormat="1" ht="25" customHeight="1" spans="1:13">
      <c r="A1076" s="306" t="s">
        <v>298</v>
      </c>
      <c r="B1076" s="307" t="s">
        <v>298</v>
      </c>
      <c r="C1076" s="308" t="s">
        <v>464</v>
      </c>
      <c r="D1076" s="309">
        <f>E1076+I1076</f>
        <v>0</v>
      </c>
      <c r="E1076" s="310">
        <f>SUBTOTAL(9,F1076:H1076)</f>
        <v>0</v>
      </c>
      <c r="F1076" s="311">
        <v>0</v>
      </c>
      <c r="G1076" s="309">
        <v>0</v>
      </c>
      <c r="H1076" s="310">
        <v>0</v>
      </c>
      <c r="I1076" s="329">
        <f>SUBTOTAL(9,J1076:L1076)</f>
        <v>0</v>
      </c>
      <c r="J1076" s="309">
        <v>0</v>
      </c>
      <c r="K1076" s="310">
        <v>0</v>
      </c>
      <c r="L1076" s="311"/>
      <c r="M1076" s="330" t="s">
        <v>1603</v>
      </c>
    </row>
    <row r="1077" s="263" customFormat="1" ht="22" customHeight="1" spans="1:13">
      <c r="A1077" s="288" t="s">
        <v>1604</v>
      </c>
      <c r="B1077" s="289" t="s">
        <v>1605</v>
      </c>
      <c r="C1077" s="290"/>
      <c r="D1077" s="291">
        <f t="shared" ref="D1077:L1077" si="788">D1078+D1089+D1092+D1097+D1110+D1113</f>
        <v>1307.6691</v>
      </c>
      <c r="E1077" s="292">
        <f t="shared" si="788"/>
        <v>601.4591</v>
      </c>
      <c r="F1077" s="293">
        <f t="shared" si="788"/>
        <v>555.5636</v>
      </c>
      <c r="G1077" s="291">
        <f t="shared" si="788"/>
        <v>37.527</v>
      </c>
      <c r="H1077" s="292">
        <f t="shared" si="788"/>
        <v>8.3685</v>
      </c>
      <c r="I1077" s="323">
        <f t="shared" si="788"/>
        <v>706.21</v>
      </c>
      <c r="J1077" s="291">
        <f t="shared" si="788"/>
        <v>706.21</v>
      </c>
      <c r="K1077" s="292">
        <f t="shared" si="788"/>
        <v>0</v>
      </c>
      <c r="L1077" s="293">
        <f t="shared" si="788"/>
        <v>0</v>
      </c>
      <c r="M1077" s="324" t="s">
        <v>291</v>
      </c>
    </row>
    <row r="1078" s="263" customFormat="1" ht="18.75" customHeight="1" spans="1:13">
      <c r="A1078" s="294" t="s">
        <v>1606</v>
      </c>
      <c r="B1078" s="295" t="s">
        <v>1607</v>
      </c>
      <c r="C1078" s="296"/>
      <c r="D1078" s="297">
        <f t="shared" ref="D1078:L1078" si="789">D1079+D1081+D1083+D1085+D1087</f>
        <v>392.0368</v>
      </c>
      <c r="E1078" s="298">
        <f t="shared" si="789"/>
        <v>286.0768</v>
      </c>
      <c r="F1078" s="299">
        <f t="shared" si="789"/>
        <v>246.4313</v>
      </c>
      <c r="G1078" s="297">
        <f t="shared" si="789"/>
        <v>32.483</v>
      </c>
      <c r="H1078" s="298">
        <f t="shared" si="789"/>
        <v>7.1625</v>
      </c>
      <c r="I1078" s="325">
        <f t="shared" si="789"/>
        <v>105.96</v>
      </c>
      <c r="J1078" s="297">
        <f t="shared" si="789"/>
        <v>105.96</v>
      </c>
      <c r="K1078" s="298">
        <f t="shared" si="789"/>
        <v>0</v>
      </c>
      <c r="L1078" s="299">
        <f t="shared" si="789"/>
        <v>0</v>
      </c>
      <c r="M1078" s="326" t="s">
        <v>291</v>
      </c>
    </row>
    <row r="1079" s="263" customFormat="1" ht="27" customHeight="1" spans="1:13">
      <c r="A1079" s="300" t="s">
        <v>1608</v>
      </c>
      <c r="B1079" s="301" t="s">
        <v>1609</v>
      </c>
      <c r="C1079" s="302"/>
      <c r="D1079" s="303">
        <f t="shared" ref="D1079:L1079" si="790">D1080</f>
        <v>286.0768</v>
      </c>
      <c r="E1079" s="304">
        <f t="shared" si="790"/>
        <v>286.0768</v>
      </c>
      <c r="F1079" s="305">
        <f t="shared" si="790"/>
        <v>246.4313</v>
      </c>
      <c r="G1079" s="303">
        <f t="shared" si="790"/>
        <v>32.483</v>
      </c>
      <c r="H1079" s="304">
        <f t="shared" si="790"/>
        <v>7.1625</v>
      </c>
      <c r="I1079" s="327">
        <f t="shared" si="790"/>
        <v>0</v>
      </c>
      <c r="J1079" s="303">
        <f t="shared" si="790"/>
        <v>0</v>
      </c>
      <c r="K1079" s="304">
        <f t="shared" si="790"/>
        <v>0</v>
      </c>
      <c r="L1079" s="305">
        <f t="shared" si="790"/>
        <v>0</v>
      </c>
      <c r="M1079" s="328" t="s">
        <v>291</v>
      </c>
    </row>
    <row r="1080" s="263" customFormat="1" ht="18.75" customHeight="1" spans="1:13">
      <c r="A1080" s="306" t="s">
        <v>298</v>
      </c>
      <c r="B1080" s="307" t="s">
        <v>298</v>
      </c>
      <c r="C1080" s="308" t="s">
        <v>553</v>
      </c>
      <c r="D1080" s="309">
        <f t="shared" ref="D1080:D1084" si="791">E1080+I1080</f>
        <v>286.0768</v>
      </c>
      <c r="E1080" s="310">
        <f t="shared" ref="E1080:E1084" si="792">SUBTOTAL(9,F1080:H1080)</f>
        <v>286.0768</v>
      </c>
      <c r="F1080" s="311">
        <v>246.4313</v>
      </c>
      <c r="G1080" s="309">
        <v>32.483</v>
      </c>
      <c r="H1080" s="310">
        <v>7.1625</v>
      </c>
      <c r="I1080" s="329">
        <f t="shared" ref="I1080:I1084" si="793">SUBTOTAL(9,J1080:L1080)</f>
        <v>0</v>
      </c>
      <c r="J1080" s="309">
        <v>0</v>
      </c>
      <c r="K1080" s="310">
        <v>0</v>
      </c>
      <c r="L1080" s="311">
        <v>0</v>
      </c>
      <c r="M1080" s="330" t="s">
        <v>291</v>
      </c>
    </row>
    <row r="1081" s="263" customFormat="1" ht="27" customHeight="1" spans="1:13">
      <c r="A1081" s="300" t="s">
        <v>1610</v>
      </c>
      <c r="B1081" s="301" t="s">
        <v>1611</v>
      </c>
      <c r="C1081" s="302"/>
      <c r="D1081" s="303">
        <f t="shared" ref="D1081:L1081" si="794">D1082</f>
        <v>20</v>
      </c>
      <c r="E1081" s="304">
        <f t="shared" si="794"/>
        <v>0</v>
      </c>
      <c r="F1081" s="305">
        <f t="shared" si="794"/>
        <v>0</v>
      </c>
      <c r="G1081" s="303">
        <f t="shared" si="794"/>
        <v>0</v>
      </c>
      <c r="H1081" s="304">
        <f t="shared" si="794"/>
        <v>0</v>
      </c>
      <c r="I1081" s="327">
        <f t="shared" si="794"/>
        <v>20</v>
      </c>
      <c r="J1081" s="303">
        <f t="shared" si="794"/>
        <v>20</v>
      </c>
      <c r="K1081" s="304">
        <f t="shared" si="794"/>
        <v>0</v>
      </c>
      <c r="L1081" s="305">
        <f t="shared" si="794"/>
        <v>0</v>
      </c>
      <c r="M1081" s="328" t="s">
        <v>291</v>
      </c>
    </row>
    <row r="1082" s="263" customFormat="1" ht="24" customHeight="1" spans="1:13">
      <c r="A1082" s="306" t="s">
        <v>298</v>
      </c>
      <c r="B1082" s="307" t="s">
        <v>298</v>
      </c>
      <c r="C1082" s="308" t="s">
        <v>553</v>
      </c>
      <c r="D1082" s="309">
        <f t="shared" si="791"/>
        <v>20</v>
      </c>
      <c r="E1082" s="310">
        <f t="shared" si="792"/>
        <v>0</v>
      </c>
      <c r="F1082" s="311">
        <v>0</v>
      </c>
      <c r="G1082" s="309">
        <v>0</v>
      </c>
      <c r="H1082" s="310">
        <v>0</v>
      </c>
      <c r="I1082" s="329">
        <f t="shared" si="793"/>
        <v>20</v>
      </c>
      <c r="J1082" s="309">
        <v>20</v>
      </c>
      <c r="K1082" s="310">
        <v>0</v>
      </c>
      <c r="L1082" s="311">
        <v>0</v>
      </c>
      <c r="M1082" s="330" t="s">
        <v>1612</v>
      </c>
    </row>
    <row r="1083" s="263" customFormat="1" ht="22" customHeight="1" spans="1:13">
      <c r="A1083" s="300" t="s">
        <v>1613</v>
      </c>
      <c r="B1083" s="301" t="s">
        <v>1614</v>
      </c>
      <c r="C1083" s="302"/>
      <c r="D1083" s="303">
        <f t="shared" ref="D1083:L1083" si="795">D1084</f>
        <v>0.18</v>
      </c>
      <c r="E1083" s="304">
        <f t="shared" si="795"/>
        <v>0</v>
      </c>
      <c r="F1083" s="305">
        <f t="shared" si="795"/>
        <v>0</v>
      </c>
      <c r="G1083" s="303">
        <f t="shared" si="795"/>
        <v>0</v>
      </c>
      <c r="H1083" s="304">
        <f t="shared" si="795"/>
        <v>0</v>
      </c>
      <c r="I1083" s="327">
        <f t="shared" si="795"/>
        <v>0.18</v>
      </c>
      <c r="J1083" s="303">
        <f t="shared" si="795"/>
        <v>0.18</v>
      </c>
      <c r="K1083" s="304">
        <f t="shared" si="795"/>
        <v>0</v>
      </c>
      <c r="L1083" s="305">
        <f t="shared" si="795"/>
        <v>0</v>
      </c>
      <c r="M1083" s="328" t="s">
        <v>291</v>
      </c>
    </row>
    <row r="1084" s="263" customFormat="1" ht="18.75" customHeight="1" spans="1:13">
      <c r="A1084" s="306" t="s">
        <v>298</v>
      </c>
      <c r="B1084" s="307" t="s">
        <v>298</v>
      </c>
      <c r="C1084" s="308" t="s">
        <v>553</v>
      </c>
      <c r="D1084" s="309">
        <f t="shared" si="791"/>
        <v>0.18</v>
      </c>
      <c r="E1084" s="310">
        <f t="shared" si="792"/>
        <v>0</v>
      </c>
      <c r="F1084" s="311">
        <v>0</v>
      </c>
      <c r="G1084" s="309">
        <v>0</v>
      </c>
      <c r="H1084" s="310">
        <v>0</v>
      </c>
      <c r="I1084" s="329">
        <f t="shared" si="793"/>
        <v>0.18</v>
      </c>
      <c r="J1084" s="309">
        <v>0.18</v>
      </c>
      <c r="K1084" s="310">
        <v>0</v>
      </c>
      <c r="L1084" s="311">
        <v>0</v>
      </c>
      <c r="M1084" s="330" t="s">
        <v>1615</v>
      </c>
    </row>
    <row r="1085" s="263" customFormat="1" ht="22" customHeight="1" spans="1:13">
      <c r="A1085" s="300" t="s">
        <v>1616</v>
      </c>
      <c r="B1085" s="301" t="s">
        <v>1617</v>
      </c>
      <c r="C1085" s="302"/>
      <c r="D1085" s="303">
        <f t="shared" ref="D1085:L1085" si="796">D1086</f>
        <v>72.26</v>
      </c>
      <c r="E1085" s="304">
        <f t="shared" si="796"/>
        <v>0</v>
      </c>
      <c r="F1085" s="305">
        <f t="shared" si="796"/>
        <v>0</v>
      </c>
      <c r="G1085" s="303">
        <f t="shared" si="796"/>
        <v>0</v>
      </c>
      <c r="H1085" s="304">
        <f t="shared" si="796"/>
        <v>0</v>
      </c>
      <c r="I1085" s="327">
        <f t="shared" si="796"/>
        <v>72.26</v>
      </c>
      <c r="J1085" s="303">
        <f t="shared" si="796"/>
        <v>72.26</v>
      </c>
      <c r="K1085" s="304">
        <f t="shared" si="796"/>
        <v>0</v>
      </c>
      <c r="L1085" s="305">
        <f t="shared" si="796"/>
        <v>0</v>
      </c>
      <c r="M1085" s="328" t="s">
        <v>291</v>
      </c>
    </row>
    <row r="1086" s="263" customFormat="1" ht="83" customHeight="1" spans="1:13">
      <c r="A1086" s="306" t="s">
        <v>298</v>
      </c>
      <c r="B1086" s="307" t="s">
        <v>298</v>
      </c>
      <c r="C1086" s="308" t="s">
        <v>553</v>
      </c>
      <c r="D1086" s="309">
        <f t="shared" ref="D1086:D1091" si="797">E1086+I1086</f>
        <v>72.26</v>
      </c>
      <c r="E1086" s="310">
        <f t="shared" ref="E1086:E1091" si="798">SUBTOTAL(9,F1086:H1086)</f>
        <v>0</v>
      </c>
      <c r="F1086" s="311">
        <v>0</v>
      </c>
      <c r="G1086" s="309">
        <v>0</v>
      </c>
      <c r="H1086" s="310">
        <v>0</v>
      </c>
      <c r="I1086" s="329">
        <f t="shared" ref="I1086:I1091" si="799">SUBTOTAL(9,J1086:L1086)</f>
        <v>72.26</v>
      </c>
      <c r="J1086" s="309">
        <v>72.26</v>
      </c>
      <c r="K1086" s="310">
        <v>0</v>
      </c>
      <c r="L1086" s="311">
        <v>0</v>
      </c>
      <c r="M1086" s="330" t="s">
        <v>1618</v>
      </c>
    </row>
    <row r="1087" s="263" customFormat="1" ht="22" customHeight="1" spans="1:13">
      <c r="A1087" s="300" t="s">
        <v>1619</v>
      </c>
      <c r="B1087" s="301" t="s">
        <v>1620</v>
      </c>
      <c r="C1087" s="302"/>
      <c r="D1087" s="303">
        <f t="shared" ref="D1087:L1087" si="800">D1088</f>
        <v>13.52</v>
      </c>
      <c r="E1087" s="304">
        <f t="shared" si="800"/>
        <v>0</v>
      </c>
      <c r="F1087" s="305">
        <f t="shared" si="800"/>
        <v>0</v>
      </c>
      <c r="G1087" s="303">
        <f t="shared" si="800"/>
        <v>0</v>
      </c>
      <c r="H1087" s="304">
        <f t="shared" si="800"/>
        <v>0</v>
      </c>
      <c r="I1087" s="327">
        <f t="shared" si="800"/>
        <v>13.52</v>
      </c>
      <c r="J1087" s="303">
        <f t="shared" si="800"/>
        <v>13.52</v>
      </c>
      <c r="K1087" s="304">
        <f t="shared" si="800"/>
        <v>0</v>
      </c>
      <c r="L1087" s="305">
        <f t="shared" si="800"/>
        <v>0</v>
      </c>
      <c r="M1087" s="328" t="s">
        <v>291</v>
      </c>
    </row>
    <row r="1088" s="263" customFormat="1" ht="18.75" customHeight="1" spans="1:13">
      <c r="A1088" s="306" t="s">
        <v>298</v>
      </c>
      <c r="B1088" s="307" t="s">
        <v>298</v>
      </c>
      <c r="C1088" s="308" t="s">
        <v>553</v>
      </c>
      <c r="D1088" s="309">
        <f t="shared" si="797"/>
        <v>13.52</v>
      </c>
      <c r="E1088" s="310">
        <f t="shared" si="798"/>
        <v>0</v>
      </c>
      <c r="F1088" s="311">
        <v>0</v>
      </c>
      <c r="G1088" s="309">
        <v>0</v>
      </c>
      <c r="H1088" s="310">
        <v>0</v>
      </c>
      <c r="I1088" s="329">
        <f t="shared" si="799"/>
        <v>13.52</v>
      </c>
      <c r="J1088" s="309">
        <v>13.52</v>
      </c>
      <c r="K1088" s="310">
        <v>0</v>
      </c>
      <c r="L1088" s="311">
        <v>0</v>
      </c>
      <c r="M1088" s="330" t="s">
        <v>1621</v>
      </c>
    </row>
    <row r="1089" s="263" customFormat="1" ht="18.75" customHeight="1" spans="1:13">
      <c r="A1089" s="294" t="s">
        <v>1622</v>
      </c>
      <c r="B1089" s="295" t="s">
        <v>1623</v>
      </c>
      <c r="C1089" s="296"/>
      <c r="D1089" s="297">
        <f t="shared" ref="D1089:L1089" si="801">D1090</f>
        <v>548</v>
      </c>
      <c r="E1089" s="298">
        <f t="shared" si="801"/>
        <v>0</v>
      </c>
      <c r="F1089" s="299">
        <f t="shared" si="801"/>
        <v>0</v>
      </c>
      <c r="G1089" s="297">
        <f t="shared" si="801"/>
        <v>0</v>
      </c>
      <c r="H1089" s="298">
        <f t="shared" si="801"/>
        <v>0</v>
      </c>
      <c r="I1089" s="325">
        <f t="shared" si="801"/>
        <v>548</v>
      </c>
      <c r="J1089" s="297">
        <f t="shared" si="801"/>
        <v>548</v>
      </c>
      <c r="K1089" s="298">
        <f t="shared" si="801"/>
        <v>0</v>
      </c>
      <c r="L1089" s="299">
        <f t="shared" si="801"/>
        <v>0</v>
      </c>
      <c r="M1089" s="326" t="s">
        <v>291</v>
      </c>
    </row>
    <row r="1090" s="263" customFormat="1" ht="22" customHeight="1" spans="1:13">
      <c r="A1090" s="300" t="s">
        <v>1624</v>
      </c>
      <c r="B1090" s="301" t="s">
        <v>1625</v>
      </c>
      <c r="C1090" s="302"/>
      <c r="D1090" s="303">
        <f t="shared" ref="D1090:L1090" si="802">D1091</f>
        <v>548</v>
      </c>
      <c r="E1090" s="304">
        <f t="shared" si="802"/>
        <v>0</v>
      </c>
      <c r="F1090" s="305">
        <f t="shared" si="802"/>
        <v>0</v>
      </c>
      <c r="G1090" s="303">
        <f t="shared" si="802"/>
        <v>0</v>
      </c>
      <c r="H1090" s="304">
        <f t="shared" si="802"/>
        <v>0</v>
      </c>
      <c r="I1090" s="327">
        <f t="shared" si="802"/>
        <v>548</v>
      </c>
      <c r="J1090" s="303">
        <f t="shared" si="802"/>
        <v>548</v>
      </c>
      <c r="K1090" s="304">
        <f t="shared" si="802"/>
        <v>0</v>
      </c>
      <c r="L1090" s="305">
        <f t="shared" si="802"/>
        <v>0</v>
      </c>
      <c r="M1090" s="328" t="s">
        <v>291</v>
      </c>
    </row>
    <row r="1091" s="263" customFormat="1" ht="160" customHeight="1" spans="1:13">
      <c r="A1091" s="306" t="s">
        <v>298</v>
      </c>
      <c r="B1091" s="307" t="s">
        <v>298</v>
      </c>
      <c r="C1091" s="308" t="s">
        <v>1626</v>
      </c>
      <c r="D1091" s="309">
        <f t="shared" si="797"/>
        <v>548</v>
      </c>
      <c r="E1091" s="310">
        <f t="shared" si="798"/>
        <v>0</v>
      </c>
      <c r="F1091" s="311">
        <v>0</v>
      </c>
      <c r="G1091" s="309">
        <v>0</v>
      </c>
      <c r="H1091" s="310">
        <v>0</v>
      </c>
      <c r="I1091" s="329">
        <f t="shared" si="799"/>
        <v>548</v>
      </c>
      <c r="J1091" s="309">
        <v>548</v>
      </c>
      <c r="K1091" s="310">
        <v>0</v>
      </c>
      <c r="L1091" s="311">
        <v>0</v>
      </c>
      <c r="M1091" s="330" t="s">
        <v>1627</v>
      </c>
    </row>
    <row r="1092" s="263" customFormat="1" ht="18.75" customHeight="1" spans="1:13">
      <c r="A1092" s="294" t="s">
        <v>1628</v>
      </c>
      <c r="B1092" s="295" t="s">
        <v>1629</v>
      </c>
      <c r="C1092" s="296"/>
      <c r="D1092" s="297">
        <f t="shared" ref="D1092:L1092" si="803">D1093+D1095</f>
        <v>291.2566</v>
      </c>
      <c r="E1092" s="298">
        <f t="shared" si="803"/>
        <v>276.8566</v>
      </c>
      <c r="F1092" s="299">
        <f t="shared" si="803"/>
        <v>276.8566</v>
      </c>
      <c r="G1092" s="297">
        <f t="shared" si="803"/>
        <v>0</v>
      </c>
      <c r="H1092" s="298">
        <f t="shared" si="803"/>
        <v>0</v>
      </c>
      <c r="I1092" s="325">
        <f t="shared" si="803"/>
        <v>14.4</v>
      </c>
      <c r="J1092" s="297">
        <f t="shared" si="803"/>
        <v>14.4</v>
      </c>
      <c r="K1092" s="298">
        <f t="shared" si="803"/>
        <v>0</v>
      </c>
      <c r="L1092" s="299">
        <f t="shared" si="803"/>
        <v>0</v>
      </c>
      <c r="M1092" s="326" t="s">
        <v>291</v>
      </c>
    </row>
    <row r="1093" s="263" customFormat="1" ht="22" customHeight="1" spans="1:13">
      <c r="A1093" s="300" t="s">
        <v>1630</v>
      </c>
      <c r="B1093" s="301" t="s">
        <v>1631</v>
      </c>
      <c r="C1093" s="302"/>
      <c r="D1093" s="303">
        <f t="shared" ref="D1093:L1093" si="804">D1094</f>
        <v>14.4</v>
      </c>
      <c r="E1093" s="304">
        <f t="shared" si="804"/>
        <v>0</v>
      </c>
      <c r="F1093" s="305">
        <f t="shared" si="804"/>
        <v>0</v>
      </c>
      <c r="G1093" s="303">
        <f t="shared" si="804"/>
        <v>0</v>
      </c>
      <c r="H1093" s="304">
        <f t="shared" si="804"/>
        <v>0</v>
      </c>
      <c r="I1093" s="327">
        <f t="shared" si="804"/>
        <v>14.4</v>
      </c>
      <c r="J1093" s="303">
        <f t="shared" si="804"/>
        <v>14.4</v>
      </c>
      <c r="K1093" s="304">
        <f t="shared" si="804"/>
        <v>0</v>
      </c>
      <c r="L1093" s="305">
        <f t="shared" si="804"/>
        <v>0</v>
      </c>
      <c r="M1093" s="328" t="s">
        <v>291</v>
      </c>
    </row>
    <row r="1094" s="263" customFormat="1" ht="18.75" customHeight="1" spans="1:13">
      <c r="A1094" s="306" t="s">
        <v>298</v>
      </c>
      <c r="B1094" s="307" t="s">
        <v>298</v>
      </c>
      <c r="C1094" s="308" t="s">
        <v>553</v>
      </c>
      <c r="D1094" s="309">
        <f t="shared" ref="D1094:D1099" si="805">E1094+I1094</f>
        <v>14.4</v>
      </c>
      <c r="E1094" s="310">
        <f t="shared" ref="E1094:E1099" si="806">SUBTOTAL(9,F1094:H1094)</f>
        <v>0</v>
      </c>
      <c r="F1094" s="311">
        <v>0</v>
      </c>
      <c r="G1094" s="309">
        <v>0</v>
      </c>
      <c r="H1094" s="310">
        <v>0</v>
      </c>
      <c r="I1094" s="329">
        <f t="shared" ref="I1094:I1099" si="807">SUBTOTAL(9,J1094:L1094)</f>
        <v>14.4</v>
      </c>
      <c r="J1094" s="309">
        <v>14.4</v>
      </c>
      <c r="K1094" s="310">
        <v>0</v>
      </c>
      <c r="L1094" s="311">
        <v>0</v>
      </c>
      <c r="M1094" s="330" t="s">
        <v>1632</v>
      </c>
    </row>
    <row r="1095" s="263" customFormat="1" ht="22" customHeight="1" spans="1:13">
      <c r="A1095" s="300" t="s">
        <v>1633</v>
      </c>
      <c r="B1095" s="301" t="s">
        <v>1634</v>
      </c>
      <c r="C1095" s="302"/>
      <c r="D1095" s="303">
        <f t="shared" ref="D1095:L1095" si="808">D1096</f>
        <v>276.8566</v>
      </c>
      <c r="E1095" s="304">
        <f t="shared" si="808"/>
        <v>276.8566</v>
      </c>
      <c r="F1095" s="305">
        <f t="shared" si="808"/>
        <v>276.8566</v>
      </c>
      <c r="G1095" s="303">
        <f t="shared" si="808"/>
        <v>0</v>
      </c>
      <c r="H1095" s="304">
        <f t="shared" si="808"/>
        <v>0</v>
      </c>
      <c r="I1095" s="327">
        <f t="shared" si="808"/>
        <v>0</v>
      </c>
      <c r="J1095" s="303">
        <f t="shared" si="808"/>
        <v>0</v>
      </c>
      <c r="K1095" s="304">
        <f t="shared" si="808"/>
        <v>0</v>
      </c>
      <c r="L1095" s="305">
        <f t="shared" si="808"/>
        <v>0</v>
      </c>
      <c r="M1095" s="328" t="s">
        <v>291</v>
      </c>
    </row>
    <row r="1096" s="263" customFormat="1" ht="18.75" customHeight="1" spans="1:13">
      <c r="A1096" s="306" t="s">
        <v>298</v>
      </c>
      <c r="B1096" s="307" t="s">
        <v>298</v>
      </c>
      <c r="C1096" s="308" t="s">
        <v>553</v>
      </c>
      <c r="D1096" s="309">
        <f t="shared" si="805"/>
        <v>276.8566</v>
      </c>
      <c r="E1096" s="310">
        <f t="shared" si="806"/>
        <v>276.8566</v>
      </c>
      <c r="F1096" s="311">
        <v>276.8566</v>
      </c>
      <c r="G1096" s="309">
        <v>0</v>
      </c>
      <c r="H1096" s="310">
        <v>0</v>
      </c>
      <c r="I1096" s="329">
        <f t="shared" si="807"/>
        <v>0</v>
      </c>
      <c r="J1096" s="309">
        <v>0</v>
      </c>
      <c r="K1096" s="310">
        <v>0</v>
      </c>
      <c r="L1096" s="311">
        <v>0</v>
      </c>
      <c r="M1096" s="330" t="s">
        <v>291</v>
      </c>
    </row>
    <row r="1097" s="263" customFormat="1" ht="18.75" customHeight="1" spans="1:13">
      <c r="A1097" s="294" t="s">
        <v>1635</v>
      </c>
      <c r="B1097" s="295" t="s">
        <v>1636</v>
      </c>
      <c r="C1097" s="296"/>
      <c r="D1097" s="297">
        <f t="shared" ref="D1097:L1097" si="809">D1098+D1100+D1102+D1104+D1106+D1108</f>
        <v>54.7757</v>
      </c>
      <c r="E1097" s="298">
        <f t="shared" si="809"/>
        <v>38.5257</v>
      </c>
      <c r="F1097" s="299">
        <f t="shared" si="809"/>
        <v>32.2757</v>
      </c>
      <c r="G1097" s="297">
        <f t="shared" si="809"/>
        <v>5.044</v>
      </c>
      <c r="H1097" s="298">
        <f t="shared" si="809"/>
        <v>1.206</v>
      </c>
      <c r="I1097" s="325">
        <f t="shared" si="809"/>
        <v>16.25</v>
      </c>
      <c r="J1097" s="297">
        <f t="shared" si="809"/>
        <v>16.25</v>
      </c>
      <c r="K1097" s="298">
        <f t="shared" si="809"/>
        <v>0</v>
      </c>
      <c r="L1097" s="299">
        <f t="shared" si="809"/>
        <v>0</v>
      </c>
      <c r="M1097" s="326" t="s">
        <v>291</v>
      </c>
    </row>
    <row r="1098" s="263" customFormat="1" ht="22" customHeight="1" spans="1:13">
      <c r="A1098" s="300" t="s">
        <v>1637</v>
      </c>
      <c r="B1098" s="301" t="s">
        <v>1638</v>
      </c>
      <c r="C1098" s="302"/>
      <c r="D1098" s="303">
        <f t="shared" ref="D1098:L1098" si="810">D1099</f>
        <v>38.5257</v>
      </c>
      <c r="E1098" s="304">
        <f t="shared" si="810"/>
        <v>38.5257</v>
      </c>
      <c r="F1098" s="305">
        <f t="shared" si="810"/>
        <v>32.2757</v>
      </c>
      <c r="G1098" s="303">
        <f t="shared" si="810"/>
        <v>5.044</v>
      </c>
      <c r="H1098" s="304">
        <f t="shared" si="810"/>
        <v>1.206</v>
      </c>
      <c r="I1098" s="327">
        <f t="shared" si="810"/>
        <v>0</v>
      </c>
      <c r="J1098" s="303">
        <f t="shared" si="810"/>
        <v>0</v>
      </c>
      <c r="K1098" s="304">
        <f t="shared" si="810"/>
        <v>0</v>
      </c>
      <c r="L1098" s="305">
        <f t="shared" si="810"/>
        <v>0</v>
      </c>
      <c r="M1098" s="328" t="s">
        <v>291</v>
      </c>
    </row>
    <row r="1099" s="263" customFormat="1" ht="18.75" customHeight="1" spans="1:13">
      <c r="A1099" s="306" t="s">
        <v>298</v>
      </c>
      <c r="B1099" s="307" t="s">
        <v>298</v>
      </c>
      <c r="C1099" s="308" t="s">
        <v>544</v>
      </c>
      <c r="D1099" s="309">
        <f t="shared" si="805"/>
        <v>38.5257</v>
      </c>
      <c r="E1099" s="310">
        <f t="shared" si="806"/>
        <v>38.5257</v>
      </c>
      <c r="F1099" s="311">
        <v>32.2757</v>
      </c>
      <c r="G1099" s="309">
        <v>5.044</v>
      </c>
      <c r="H1099" s="310">
        <v>1.206</v>
      </c>
      <c r="I1099" s="329">
        <f t="shared" si="807"/>
        <v>0</v>
      </c>
      <c r="J1099" s="309">
        <v>0</v>
      </c>
      <c r="K1099" s="310">
        <v>0</v>
      </c>
      <c r="L1099" s="311">
        <v>0</v>
      </c>
      <c r="M1099" s="330" t="s">
        <v>291</v>
      </c>
    </row>
    <row r="1100" s="263" customFormat="1" ht="22" customHeight="1" spans="1:13">
      <c r="A1100" s="300" t="s">
        <v>1639</v>
      </c>
      <c r="B1100" s="301" t="s">
        <v>1640</v>
      </c>
      <c r="C1100" s="302"/>
      <c r="D1100" s="303">
        <f t="shared" ref="D1100:L1100" si="811">D1101</f>
        <v>5.4</v>
      </c>
      <c r="E1100" s="304">
        <f t="shared" si="811"/>
        <v>0</v>
      </c>
      <c r="F1100" s="305">
        <f t="shared" si="811"/>
        <v>0</v>
      </c>
      <c r="G1100" s="303">
        <f t="shared" si="811"/>
        <v>0</v>
      </c>
      <c r="H1100" s="304">
        <f t="shared" si="811"/>
        <v>0</v>
      </c>
      <c r="I1100" s="327">
        <f t="shared" si="811"/>
        <v>5.4</v>
      </c>
      <c r="J1100" s="303">
        <f t="shared" si="811"/>
        <v>5.4</v>
      </c>
      <c r="K1100" s="304">
        <f t="shared" si="811"/>
        <v>0</v>
      </c>
      <c r="L1100" s="305">
        <f t="shared" si="811"/>
        <v>0</v>
      </c>
      <c r="M1100" s="328" t="s">
        <v>291</v>
      </c>
    </row>
    <row r="1101" s="263" customFormat="1" ht="24" customHeight="1" spans="1:13">
      <c r="A1101" s="306" t="s">
        <v>298</v>
      </c>
      <c r="B1101" s="307" t="s">
        <v>298</v>
      </c>
      <c r="C1101" s="308" t="s">
        <v>544</v>
      </c>
      <c r="D1101" s="309">
        <f t="shared" ref="D1101:D1105" si="812">E1101+I1101</f>
        <v>5.4</v>
      </c>
      <c r="E1101" s="310">
        <f t="shared" ref="E1101:E1105" si="813">SUBTOTAL(9,F1101:H1101)</f>
        <v>0</v>
      </c>
      <c r="F1101" s="311">
        <v>0</v>
      </c>
      <c r="G1101" s="309">
        <v>0</v>
      </c>
      <c r="H1101" s="310">
        <v>0</v>
      </c>
      <c r="I1101" s="329">
        <f t="shared" ref="I1101:I1105" si="814">SUBTOTAL(9,J1101:L1101)</f>
        <v>5.4</v>
      </c>
      <c r="J1101" s="309">
        <v>5.4</v>
      </c>
      <c r="K1101" s="310">
        <v>0</v>
      </c>
      <c r="L1101" s="311">
        <v>0</v>
      </c>
      <c r="M1101" s="330" t="s">
        <v>1641</v>
      </c>
    </row>
    <row r="1102" s="263" customFormat="1" ht="22" customHeight="1" spans="1:13">
      <c r="A1102" s="300" t="s">
        <v>1642</v>
      </c>
      <c r="B1102" s="301" t="s">
        <v>1643</v>
      </c>
      <c r="C1102" s="302"/>
      <c r="D1102" s="303">
        <f t="shared" ref="D1102:L1102" si="815">D1103</f>
        <v>4.81</v>
      </c>
      <c r="E1102" s="304">
        <f t="shared" si="815"/>
        <v>0</v>
      </c>
      <c r="F1102" s="305">
        <f t="shared" si="815"/>
        <v>0</v>
      </c>
      <c r="G1102" s="303">
        <f t="shared" si="815"/>
        <v>0</v>
      </c>
      <c r="H1102" s="304">
        <f t="shared" si="815"/>
        <v>0</v>
      </c>
      <c r="I1102" s="327">
        <f t="shared" si="815"/>
        <v>4.81</v>
      </c>
      <c r="J1102" s="303">
        <f t="shared" si="815"/>
        <v>4.81</v>
      </c>
      <c r="K1102" s="304">
        <f t="shared" si="815"/>
        <v>0</v>
      </c>
      <c r="L1102" s="305">
        <f t="shared" si="815"/>
        <v>0</v>
      </c>
      <c r="M1102" s="328" t="s">
        <v>291</v>
      </c>
    </row>
    <row r="1103" s="263" customFormat="1" ht="18.75" customHeight="1" spans="1:13">
      <c r="A1103" s="306" t="s">
        <v>298</v>
      </c>
      <c r="B1103" s="307" t="s">
        <v>298</v>
      </c>
      <c r="C1103" s="308" t="s">
        <v>544</v>
      </c>
      <c r="D1103" s="309">
        <f t="shared" si="812"/>
        <v>4.81</v>
      </c>
      <c r="E1103" s="310">
        <f t="shared" si="813"/>
        <v>0</v>
      </c>
      <c r="F1103" s="311">
        <v>0</v>
      </c>
      <c r="G1103" s="309">
        <v>0</v>
      </c>
      <c r="H1103" s="310">
        <v>0</v>
      </c>
      <c r="I1103" s="329">
        <f t="shared" si="814"/>
        <v>4.81</v>
      </c>
      <c r="J1103" s="309">
        <v>4.81</v>
      </c>
      <c r="K1103" s="310">
        <v>0</v>
      </c>
      <c r="L1103" s="311">
        <v>0</v>
      </c>
      <c r="M1103" s="330" t="s">
        <v>1644</v>
      </c>
    </row>
    <row r="1104" s="263" customFormat="1" ht="22" customHeight="1" spans="1:13">
      <c r="A1104" s="300" t="s">
        <v>1645</v>
      </c>
      <c r="B1104" s="301" t="s">
        <v>1646</v>
      </c>
      <c r="C1104" s="302"/>
      <c r="D1104" s="303">
        <f t="shared" ref="D1104:L1104" si="816">D1105</f>
        <v>3</v>
      </c>
      <c r="E1104" s="304">
        <f t="shared" si="816"/>
        <v>0</v>
      </c>
      <c r="F1104" s="305">
        <f t="shared" si="816"/>
        <v>0</v>
      </c>
      <c r="G1104" s="303">
        <f t="shared" si="816"/>
        <v>0</v>
      </c>
      <c r="H1104" s="304">
        <f t="shared" si="816"/>
        <v>0</v>
      </c>
      <c r="I1104" s="327">
        <f t="shared" si="816"/>
        <v>3</v>
      </c>
      <c r="J1104" s="303">
        <f t="shared" si="816"/>
        <v>3</v>
      </c>
      <c r="K1104" s="304">
        <f t="shared" si="816"/>
        <v>0</v>
      </c>
      <c r="L1104" s="305">
        <f t="shared" si="816"/>
        <v>0</v>
      </c>
      <c r="M1104" s="328" t="s">
        <v>291</v>
      </c>
    </row>
    <row r="1105" s="263" customFormat="1" ht="25" customHeight="1" spans="1:13">
      <c r="A1105" s="306" t="s">
        <v>298</v>
      </c>
      <c r="B1105" s="307" t="s">
        <v>298</v>
      </c>
      <c r="C1105" s="308" t="s">
        <v>544</v>
      </c>
      <c r="D1105" s="309">
        <f t="shared" si="812"/>
        <v>3</v>
      </c>
      <c r="E1105" s="310">
        <f t="shared" si="813"/>
        <v>0</v>
      </c>
      <c r="F1105" s="311">
        <v>0</v>
      </c>
      <c r="G1105" s="309">
        <v>0</v>
      </c>
      <c r="H1105" s="310">
        <v>0</v>
      </c>
      <c r="I1105" s="329">
        <f t="shared" si="814"/>
        <v>3</v>
      </c>
      <c r="J1105" s="309">
        <v>3</v>
      </c>
      <c r="K1105" s="310">
        <v>0</v>
      </c>
      <c r="L1105" s="311">
        <v>0</v>
      </c>
      <c r="M1105" s="330" t="s">
        <v>1647</v>
      </c>
    </row>
    <row r="1106" s="263" customFormat="1" ht="22" customHeight="1" spans="1:13">
      <c r="A1106" s="300" t="s">
        <v>1648</v>
      </c>
      <c r="B1106" s="301" t="s">
        <v>1649</v>
      </c>
      <c r="C1106" s="302"/>
      <c r="D1106" s="303">
        <f t="shared" ref="D1106:L1106" si="817">D1107</f>
        <v>3</v>
      </c>
      <c r="E1106" s="304">
        <f t="shared" si="817"/>
        <v>0</v>
      </c>
      <c r="F1106" s="305">
        <f t="shared" si="817"/>
        <v>0</v>
      </c>
      <c r="G1106" s="303">
        <f t="shared" si="817"/>
        <v>0</v>
      </c>
      <c r="H1106" s="304">
        <f t="shared" si="817"/>
        <v>0</v>
      </c>
      <c r="I1106" s="327">
        <f t="shared" si="817"/>
        <v>3</v>
      </c>
      <c r="J1106" s="303">
        <f t="shared" si="817"/>
        <v>3</v>
      </c>
      <c r="K1106" s="304">
        <f t="shared" si="817"/>
        <v>0</v>
      </c>
      <c r="L1106" s="305">
        <f t="shared" si="817"/>
        <v>0</v>
      </c>
      <c r="M1106" s="328" t="s">
        <v>291</v>
      </c>
    </row>
    <row r="1107" s="263" customFormat="1" ht="18.75" customHeight="1" spans="1:13">
      <c r="A1107" s="306" t="s">
        <v>298</v>
      </c>
      <c r="B1107" s="307" t="s">
        <v>298</v>
      </c>
      <c r="C1107" s="308" t="s">
        <v>544</v>
      </c>
      <c r="D1107" s="309">
        <f t="shared" ref="D1107:D1112" si="818">E1107+I1107</f>
        <v>3</v>
      </c>
      <c r="E1107" s="310">
        <f t="shared" ref="E1107:E1112" si="819">SUBTOTAL(9,F1107:H1107)</f>
        <v>0</v>
      </c>
      <c r="F1107" s="311">
        <v>0</v>
      </c>
      <c r="G1107" s="309">
        <v>0</v>
      </c>
      <c r="H1107" s="310">
        <v>0</v>
      </c>
      <c r="I1107" s="329">
        <f t="shared" ref="I1107:I1112" si="820">SUBTOTAL(9,J1107:L1107)</f>
        <v>3</v>
      </c>
      <c r="J1107" s="309">
        <v>3</v>
      </c>
      <c r="K1107" s="310">
        <v>0</v>
      </c>
      <c r="L1107" s="311">
        <v>0</v>
      </c>
      <c r="M1107" s="330" t="s">
        <v>1650</v>
      </c>
    </row>
    <row r="1108" s="263" customFormat="1" ht="22" customHeight="1" spans="1:13">
      <c r="A1108" s="300" t="s">
        <v>1651</v>
      </c>
      <c r="B1108" s="301" t="s">
        <v>1652</v>
      </c>
      <c r="C1108" s="302"/>
      <c r="D1108" s="303">
        <f t="shared" ref="D1108:L1108" si="821">D1109</f>
        <v>0.04</v>
      </c>
      <c r="E1108" s="304">
        <f t="shared" si="821"/>
        <v>0</v>
      </c>
      <c r="F1108" s="305">
        <f t="shared" si="821"/>
        <v>0</v>
      </c>
      <c r="G1108" s="303">
        <f t="shared" si="821"/>
        <v>0</v>
      </c>
      <c r="H1108" s="304">
        <f t="shared" si="821"/>
        <v>0</v>
      </c>
      <c r="I1108" s="327">
        <f t="shared" si="821"/>
        <v>0.04</v>
      </c>
      <c r="J1108" s="303">
        <f t="shared" si="821"/>
        <v>0.04</v>
      </c>
      <c r="K1108" s="304">
        <f t="shared" si="821"/>
        <v>0</v>
      </c>
      <c r="L1108" s="305">
        <f t="shared" si="821"/>
        <v>0</v>
      </c>
      <c r="M1108" s="328" t="s">
        <v>291</v>
      </c>
    </row>
    <row r="1109" s="263" customFormat="1" ht="18.75" customHeight="1" spans="1:13">
      <c r="A1109" s="306" t="s">
        <v>298</v>
      </c>
      <c r="B1109" s="307" t="s">
        <v>298</v>
      </c>
      <c r="C1109" s="308" t="s">
        <v>544</v>
      </c>
      <c r="D1109" s="309">
        <f t="shared" si="818"/>
        <v>0.04</v>
      </c>
      <c r="E1109" s="310">
        <f t="shared" si="819"/>
        <v>0</v>
      </c>
      <c r="F1109" s="311">
        <v>0</v>
      </c>
      <c r="G1109" s="309">
        <v>0</v>
      </c>
      <c r="H1109" s="310">
        <v>0</v>
      </c>
      <c r="I1109" s="329">
        <f t="shared" si="820"/>
        <v>0.04</v>
      </c>
      <c r="J1109" s="309">
        <v>0.04</v>
      </c>
      <c r="K1109" s="310">
        <v>0</v>
      </c>
      <c r="L1109" s="311">
        <v>0</v>
      </c>
      <c r="M1109" s="330" t="s">
        <v>1653</v>
      </c>
    </row>
    <row r="1110" s="263" customFormat="1" ht="18.75" customHeight="1" spans="1:13">
      <c r="A1110" s="294" t="s">
        <v>1654</v>
      </c>
      <c r="B1110" s="295" t="s">
        <v>1655</v>
      </c>
      <c r="C1110" s="296"/>
      <c r="D1110" s="297">
        <f t="shared" ref="D1110:L1110" si="822">D1111</f>
        <v>20</v>
      </c>
      <c r="E1110" s="298">
        <f t="shared" si="822"/>
        <v>0</v>
      </c>
      <c r="F1110" s="299">
        <f t="shared" si="822"/>
        <v>0</v>
      </c>
      <c r="G1110" s="297">
        <f t="shared" si="822"/>
        <v>0</v>
      </c>
      <c r="H1110" s="298">
        <f t="shared" si="822"/>
        <v>0</v>
      </c>
      <c r="I1110" s="325">
        <f t="shared" si="822"/>
        <v>20</v>
      </c>
      <c r="J1110" s="297">
        <f t="shared" si="822"/>
        <v>20</v>
      </c>
      <c r="K1110" s="298">
        <f t="shared" si="822"/>
        <v>0</v>
      </c>
      <c r="L1110" s="299">
        <f t="shared" si="822"/>
        <v>0</v>
      </c>
      <c r="M1110" s="326" t="s">
        <v>291</v>
      </c>
    </row>
    <row r="1111" s="263" customFormat="1" ht="22" customHeight="1" spans="1:13">
      <c r="A1111" s="300" t="s">
        <v>1656</v>
      </c>
      <c r="B1111" s="301" t="s">
        <v>1657</v>
      </c>
      <c r="C1111" s="302"/>
      <c r="D1111" s="303">
        <f t="shared" ref="D1111:L1111" si="823">D1112</f>
        <v>20</v>
      </c>
      <c r="E1111" s="304">
        <f t="shared" si="823"/>
        <v>0</v>
      </c>
      <c r="F1111" s="305">
        <f t="shared" si="823"/>
        <v>0</v>
      </c>
      <c r="G1111" s="303">
        <f t="shared" si="823"/>
        <v>0</v>
      </c>
      <c r="H1111" s="304">
        <f t="shared" si="823"/>
        <v>0</v>
      </c>
      <c r="I1111" s="327">
        <f t="shared" si="823"/>
        <v>20</v>
      </c>
      <c r="J1111" s="303">
        <f t="shared" si="823"/>
        <v>20</v>
      </c>
      <c r="K1111" s="304">
        <f t="shared" si="823"/>
        <v>0</v>
      </c>
      <c r="L1111" s="305">
        <f t="shared" si="823"/>
        <v>0</v>
      </c>
      <c r="M1111" s="328" t="s">
        <v>291</v>
      </c>
    </row>
    <row r="1112" s="263" customFormat="1" ht="18.75" customHeight="1" spans="1:13">
      <c r="A1112" s="306" t="s">
        <v>298</v>
      </c>
      <c r="B1112" s="307" t="s">
        <v>298</v>
      </c>
      <c r="C1112" s="308" t="s">
        <v>553</v>
      </c>
      <c r="D1112" s="309">
        <f t="shared" si="818"/>
        <v>20</v>
      </c>
      <c r="E1112" s="310">
        <f t="shared" si="819"/>
        <v>0</v>
      </c>
      <c r="F1112" s="311">
        <v>0</v>
      </c>
      <c r="G1112" s="309">
        <v>0</v>
      </c>
      <c r="H1112" s="310">
        <v>0</v>
      </c>
      <c r="I1112" s="329">
        <f t="shared" si="820"/>
        <v>20</v>
      </c>
      <c r="J1112" s="309">
        <v>20</v>
      </c>
      <c r="K1112" s="310">
        <v>0</v>
      </c>
      <c r="L1112" s="311">
        <v>0</v>
      </c>
      <c r="M1112" s="330" t="s">
        <v>1658</v>
      </c>
    </row>
    <row r="1113" s="263" customFormat="1" ht="18.75" customHeight="1" spans="1:13">
      <c r="A1113" s="294" t="s">
        <v>1659</v>
      </c>
      <c r="B1113" s="295" t="s">
        <v>1660</v>
      </c>
      <c r="C1113" s="296"/>
      <c r="D1113" s="297">
        <f t="shared" ref="D1113:L1113" si="824">D1114</f>
        <v>1.6</v>
      </c>
      <c r="E1113" s="298">
        <f t="shared" si="824"/>
        <v>0</v>
      </c>
      <c r="F1113" s="299">
        <f t="shared" si="824"/>
        <v>0</v>
      </c>
      <c r="G1113" s="297">
        <f t="shared" si="824"/>
        <v>0</v>
      </c>
      <c r="H1113" s="298">
        <f t="shared" si="824"/>
        <v>0</v>
      </c>
      <c r="I1113" s="325">
        <f t="shared" si="824"/>
        <v>1.6</v>
      </c>
      <c r="J1113" s="297">
        <f t="shared" si="824"/>
        <v>1.6</v>
      </c>
      <c r="K1113" s="298">
        <f t="shared" si="824"/>
        <v>0</v>
      </c>
      <c r="L1113" s="299">
        <f t="shared" si="824"/>
        <v>0</v>
      </c>
      <c r="M1113" s="326" t="s">
        <v>291</v>
      </c>
    </row>
    <row r="1114" s="263" customFormat="1" ht="27" customHeight="1" spans="1:13">
      <c r="A1114" s="300" t="s">
        <v>1661</v>
      </c>
      <c r="B1114" s="301" t="s">
        <v>1662</v>
      </c>
      <c r="C1114" s="302"/>
      <c r="D1114" s="303">
        <f t="shared" ref="D1114:L1114" si="825">D1115</f>
        <v>1.6</v>
      </c>
      <c r="E1114" s="304">
        <f t="shared" si="825"/>
        <v>0</v>
      </c>
      <c r="F1114" s="305">
        <f t="shared" si="825"/>
        <v>0</v>
      </c>
      <c r="G1114" s="303">
        <f t="shared" si="825"/>
        <v>0</v>
      </c>
      <c r="H1114" s="304">
        <f t="shared" si="825"/>
        <v>0</v>
      </c>
      <c r="I1114" s="327">
        <f t="shared" si="825"/>
        <v>1.6</v>
      </c>
      <c r="J1114" s="303">
        <f t="shared" si="825"/>
        <v>1.6</v>
      </c>
      <c r="K1114" s="304">
        <f t="shared" si="825"/>
        <v>0</v>
      </c>
      <c r="L1114" s="305">
        <f t="shared" si="825"/>
        <v>0</v>
      </c>
      <c r="M1114" s="328" t="s">
        <v>291</v>
      </c>
    </row>
    <row r="1115" s="263" customFormat="1" ht="18.75" customHeight="1" spans="1:13">
      <c r="A1115" s="306" t="s">
        <v>298</v>
      </c>
      <c r="B1115" s="307" t="s">
        <v>298</v>
      </c>
      <c r="C1115" s="308" t="s">
        <v>553</v>
      </c>
      <c r="D1115" s="309">
        <f>E1115+I1115</f>
        <v>1.6</v>
      </c>
      <c r="E1115" s="310">
        <f>SUBTOTAL(9,F1115:H1115)</f>
        <v>0</v>
      </c>
      <c r="F1115" s="311">
        <v>0</v>
      </c>
      <c r="G1115" s="309">
        <v>0</v>
      </c>
      <c r="H1115" s="310">
        <v>0</v>
      </c>
      <c r="I1115" s="329">
        <f>SUBTOTAL(9,J1115:L1115)</f>
        <v>1.6</v>
      </c>
      <c r="J1115" s="309">
        <v>1.6</v>
      </c>
      <c r="K1115" s="310">
        <v>0</v>
      </c>
      <c r="L1115" s="311">
        <v>0</v>
      </c>
      <c r="M1115" s="330" t="s">
        <v>1663</v>
      </c>
    </row>
    <row r="1116" s="263" customFormat="1" ht="18.75" customHeight="1" spans="1:13">
      <c r="A1116" s="288" t="s">
        <v>1664</v>
      </c>
      <c r="B1116" s="289" t="s">
        <v>1665</v>
      </c>
      <c r="C1116" s="290"/>
      <c r="D1116" s="291">
        <f t="shared" ref="D1116:L1116" si="826">D1117</f>
        <v>2300</v>
      </c>
      <c r="E1116" s="292">
        <f t="shared" si="826"/>
        <v>0</v>
      </c>
      <c r="F1116" s="293">
        <f t="shared" si="826"/>
        <v>0</v>
      </c>
      <c r="G1116" s="291">
        <f t="shared" si="826"/>
        <v>0</v>
      </c>
      <c r="H1116" s="292">
        <f t="shared" si="826"/>
        <v>0</v>
      </c>
      <c r="I1116" s="323">
        <f t="shared" si="826"/>
        <v>2300</v>
      </c>
      <c r="J1116" s="291">
        <f t="shared" si="826"/>
        <v>2300</v>
      </c>
      <c r="K1116" s="292">
        <f t="shared" si="826"/>
        <v>0</v>
      </c>
      <c r="L1116" s="293">
        <f t="shared" si="826"/>
        <v>0</v>
      </c>
      <c r="M1116" s="324" t="s">
        <v>291</v>
      </c>
    </row>
    <row r="1117" s="263" customFormat="1" ht="18.75" customHeight="1" spans="1:13">
      <c r="A1117" s="294" t="s">
        <v>1666</v>
      </c>
      <c r="B1117" s="295" t="s">
        <v>1667</v>
      </c>
      <c r="C1117" s="296"/>
      <c r="D1117" s="297">
        <f t="shared" ref="D1117:L1117" si="827">D1118</f>
        <v>2300</v>
      </c>
      <c r="E1117" s="298">
        <f t="shared" si="827"/>
        <v>0</v>
      </c>
      <c r="F1117" s="299">
        <f t="shared" si="827"/>
        <v>0</v>
      </c>
      <c r="G1117" s="297">
        <f t="shared" si="827"/>
        <v>0</v>
      </c>
      <c r="H1117" s="298">
        <f t="shared" si="827"/>
        <v>0</v>
      </c>
      <c r="I1117" s="325">
        <f t="shared" si="827"/>
        <v>2300</v>
      </c>
      <c r="J1117" s="297">
        <f t="shared" si="827"/>
        <v>2300</v>
      </c>
      <c r="K1117" s="298">
        <f t="shared" si="827"/>
        <v>0</v>
      </c>
      <c r="L1117" s="299">
        <f t="shared" si="827"/>
        <v>0</v>
      </c>
      <c r="M1117" s="326" t="s">
        <v>291</v>
      </c>
    </row>
    <row r="1118" s="263" customFormat="1" ht="22" customHeight="1" spans="1:13">
      <c r="A1118" s="300" t="s">
        <v>1668</v>
      </c>
      <c r="B1118" s="301" t="s">
        <v>1669</v>
      </c>
      <c r="C1118" s="302"/>
      <c r="D1118" s="303">
        <f t="shared" ref="D1118:L1118" si="828">D1119</f>
        <v>2300</v>
      </c>
      <c r="E1118" s="304">
        <f t="shared" si="828"/>
        <v>0</v>
      </c>
      <c r="F1118" s="305">
        <f t="shared" si="828"/>
        <v>0</v>
      </c>
      <c r="G1118" s="303">
        <f t="shared" si="828"/>
        <v>0</v>
      </c>
      <c r="H1118" s="304">
        <f t="shared" si="828"/>
        <v>0</v>
      </c>
      <c r="I1118" s="327">
        <f t="shared" si="828"/>
        <v>2300</v>
      </c>
      <c r="J1118" s="303">
        <f t="shared" si="828"/>
        <v>2300</v>
      </c>
      <c r="K1118" s="304">
        <f t="shared" si="828"/>
        <v>0</v>
      </c>
      <c r="L1118" s="305">
        <f t="shared" si="828"/>
        <v>0</v>
      </c>
      <c r="M1118" s="328" t="s">
        <v>291</v>
      </c>
    </row>
    <row r="1119" s="263" customFormat="1" ht="18.75" customHeight="1" spans="1:13">
      <c r="A1119" s="306" t="s">
        <v>298</v>
      </c>
      <c r="B1119" s="307" t="s">
        <v>298</v>
      </c>
      <c r="C1119" s="308"/>
      <c r="D1119" s="309">
        <f>E1119+I1119</f>
        <v>2300</v>
      </c>
      <c r="E1119" s="310">
        <f>SUBTOTAL(9,F1119:H1119)</f>
        <v>0</v>
      </c>
      <c r="F1119" s="311">
        <v>0</v>
      </c>
      <c r="G1119" s="309">
        <v>0</v>
      </c>
      <c r="H1119" s="310">
        <v>0</v>
      </c>
      <c r="I1119" s="329">
        <f>SUBTOTAL(9,J1119:L1119)</f>
        <v>2300</v>
      </c>
      <c r="J1119" s="309">
        <v>2300</v>
      </c>
      <c r="K1119" s="310">
        <v>0</v>
      </c>
      <c r="L1119" s="311">
        <v>0</v>
      </c>
      <c r="M1119" s="330" t="s">
        <v>1670</v>
      </c>
    </row>
    <row r="1120" s="263" customFormat="1" ht="18.75" customHeight="1" spans="1:13">
      <c r="A1120" s="288" t="s">
        <v>1671</v>
      </c>
      <c r="B1120" s="289" t="s">
        <v>1672</v>
      </c>
      <c r="C1120" s="290"/>
      <c r="D1120" s="291">
        <f t="shared" ref="D1120:L1120" si="829">D1121+D1124</f>
        <v>24106.1228</v>
      </c>
      <c r="E1120" s="292">
        <f t="shared" si="829"/>
        <v>4400</v>
      </c>
      <c r="F1120" s="293">
        <f t="shared" si="829"/>
        <v>1000</v>
      </c>
      <c r="G1120" s="291">
        <f t="shared" si="829"/>
        <v>0</v>
      </c>
      <c r="H1120" s="292">
        <f t="shared" si="829"/>
        <v>3400</v>
      </c>
      <c r="I1120" s="323">
        <f t="shared" si="829"/>
        <v>19706.1228</v>
      </c>
      <c r="J1120" s="291">
        <f t="shared" si="829"/>
        <v>17071</v>
      </c>
      <c r="K1120" s="292">
        <f t="shared" si="829"/>
        <v>2635.1228</v>
      </c>
      <c r="L1120" s="293">
        <f t="shared" si="829"/>
        <v>0</v>
      </c>
      <c r="M1120" s="324" t="s">
        <v>291</v>
      </c>
    </row>
    <row r="1121" s="263" customFormat="1" ht="18.75" customHeight="1" spans="1:13">
      <c r="A1121" s="294" t="s">
        <v>1673</v>
      </c>
      <c r="B1121" s="295" t="s">
        <v>1674</v>
      </c>
      <c r="C1121" s="296"/>
      <c r="D1121" s="297">
        <f t="shared" ref="D1121:L1121" si="830">D1122</f>
        <v>4400</v>
      </c>
      <c r="E1121" s="298">
        <f t="shared" si="830"/>
        <v>4400</v>
      </c>
      <c r="F1121" s="299">
        <f t="shared" si="830"/>
        <v>1000</v>
      </c>
      <c r="G1121" s="297">
        <f t="shared" si="830"/>
        <v>0</v>
      </c>
      <c r="H1121" s="298">
        <f t="shared" si="830"/>
        <v>3400</v>
      </c>
      <c r="I1121" s="325">
        <f t="shared" si="830"/>
        <v>0</v>
      </c>
      <c r="J1121" s="297">
        <f t="shared" si="830"/>
        <v>0</v>
      </c>
      <c r="K1121" s="298">
        <f t="shared" si="830"/>
        <v>0</v>
      </c>
      <c r="L1121" s="299">
        <f t="shared" si="830"/>
        <v>0</v>
      </c>
      <c r="M1121" s="326" t="s">
        <v>291</v>
      </c>
    </row>
    <row r="1122" s="263" customFormat="1" ht="22" customHeight="1" spans="1:13">
      <c r="A1122" s="300" t="s">
        <v>1675</v>
      </c>
      <c r="B1122" s="301" t="s">
        <v>1676</v>
      </c>
      <c r="C1122" s="302"/>
      <c r="D1122" s="303">
        <f t="shared" ref="D1122:L1122" si="831">D1123</f>
        <v>4400</v>
      </c>
      <c r="E1122" s="304">
        <f t="shared" si="831"/>
        <v>4400</v>
      </c>
      <c r="F1122" s="305">
        <f t="shared" si="831"/>
        <v>1000</v>
      </c>
      <c r="G1122" s="303">
        <f t="shared" si="831"/>
        <v>0</v>
      </c>
      <c r="H1122" s="304">
        <f t="shared" si="831"/>
        <v>3400</v>
      </c>
      <c r="I1122" s="327">
        <f t="shared" si="831"/>
        <v>0</v>
      </c>
      <c r="J1122" s="303">
        <f t="shared" si="831"/>
        <v>0</v>
      </c>
      <c r="K1122" s="304">
        <f t="shared" si="831"/>
        <v>0</v>
      </c>
      <c r="L1122" s="305">
        <f t="shared" si="831"/>
        <v>0</v>
      </c>
      <c r="M1122" s="328" t="s">
        <v>291</v>
      </c>
    </row>
    <row r="1123" s="263" customFormat="1" ht="42" customHeight="1" spans="1:13">
      <c r="A1123" s="306" t="s">
        <v>298</v>
      </c>
      <c r="B1123" s="307" t="s">
        <v>298</v>
      </c>
      <c r="C1123" s="308"/>
      <c r="D1123" s="309">
        <f>E1123+I1123</f>
        <v>4400</v>
      </c>
      <c r="E1123" s="310">
        <f>SUBTOTAL(9,F1123:H1123)</f>
        <v>4400</v>
      </c>
      <c r="F1123" s="311">
        <v>1000</v>
      </c>
      <c r="G1123" s="309">
        <v>0</v>
      </c>
      <c r="H1123" s="310">
        <v>3400</v>
      </c>
      <c r="I1123" s="329">
        <f>SUBTOTAL(9,J1123:L1123)</f>
        <v>0</v>
      </c>
      <c r="J1123" s="309">
        <v>0</v>
      </c>
      <c r="K1123" s="310">
        <v>0</v>
      </c>
      <c r="L1123" s="311">
        <v>0</v>
      </c>
      <c r="M1123" s="330" t="s">
        <v>1677</v>
      </c>
    </row>
    <row r="1124" s="263" customFormat="1" ht="18.75" customHeight="1" spans="1:13">
      <c r="A1124" s="294" t="s">
        <v>1678</v>
      </c>
      <c r="B1124" s="295" t="s">
        <v>1679</v>
      </c>
      <c r="C1124" s="296"/>
      <c r="D1124" s="297">
        <f t="shared" ref="D1124:L1124" si="832">D1125</f>
        <v>19706.1228</v>
      </c>
      <c r="E1124" s="298">
        <f t="shared" si="832"/>
        <v>0</v>
      </c>
      <c r="F1124" s="299">
        <f t="shared" si="832"/>
        <v>0</v>
      </c>
      <c r="G1124" s="297">
        <f t="shared" si="832"/>
        <v>0</v>
      </c>
      <c r="H1124" s="298">
        <f t="shared" si="832"/>
        <v>0</v>
      </c>
      <c r="I1124" s="325">
        <f t="shared" si="832"/>
        <v>19706.1228</v>
      </c>
      <c r="J1124" s="297">
        <f t="shared" si="832"/>
        <v>17071</v>
      </c>
      <c r="K1124" s="298">
        <f t="shared" si="832"/>
        <v>2635.1228</v>
      </c>
      <c r="L1124" s="299">
        <f t="shared" si="832"/>
        <v>0</v>
      </c>
      <c r="M1124" s="326" t="s">
        <v>291</v>
      </c>
    </row>
    <row r="1125" s="263" customFormat="1" ht="22" customHeight="1" spans="1:13">
      <c r="A1125" s="300" t="s">
        <v>1680</v>
      </c>
      <c r="B1125" s="301" t="s">
        <v>1681</v>
      </c>
      <c r="C1125" s="302"/>
      <c r="D1125" s="303">
        <f t="shared" ref="D1125:L1125" si="833">D1126</f>
        <v>19706.1228</v>
      </c>
      <c r="E1125" s="304">
        <f t="shared" si="833"/>
        <v>0</v>
      </c>
      <c r="F1125" s="305">
        <f t="shared" si="833"/>
        <v>0</v>
      </c>
      <c r="G1125" s="303">
        <f t="shared" si="833"/>
        <v>0</v>
      </c>
      <c r="H1125" s="304">
        <f t="shared" si="833"/>
        <v>0</v>
      </c>
      <c r="I1125" s="327">
        <f t="shared" si="833"/>
        <v>19706.1228</v>
      </c>
      <c r="J1125" s="303">
        <f t="shared" si="833"/>
        <v>17071</v>
      </c>
      <c r="K1125" s="304">
        <f t="shared" si="833"/>
        <v>2635.1228</v>
      </c>
      <c r="L1125" s="305">
        <f t="shared" si="833"/>
        <v>0</v>
      </c>
      <c r="M1125" s="328" t="s">
        <v>291</v>
      </c>
    </row>
    <row r="1126" s="263" customFormat="1" ht="65" customHeight="1" spans="1:13">
      <c r="A1126" s="306" t="s">
        <v>298</v>
      </c>
      <c r="B1126" s="307" t="s">
        <v>298</v>
      </c>
      <c r="C1126" s="308"/>
      <c r="D1126" s="309">
        <f>E1126+I1126</f>
        <v>19706.1228</v>
      </c>
      <c r="E1126" s="310">
        <f>SUBTOTAL(9,F1126:H1126)</f>
        <v>0</v>
      </c>
      <c r="F1126" s="311">
        <v>0</v>
      </c>
      <c r="G1126" s="309">
        <v>0</v>
      </c>
      <c r="H1126" s="310"/>
      <c r="I1126" s="329">
        <f>SUBTOTAL(9,J1126:L1126)</f>
        <v>19706.1228</v>
      </c>
      <c r="J1126" s="309">
        <f>17111-15-25</f>
        <v>17071</v>
      </c>
      <c r="K1126" s="310">
        <v>2635.1228</v>
      </c>
      <c r="L1126" s="311">
        <v>0</v>
      </c>
      <c r="M1126" s="330" t="s">
        <v>1682</v>
      </c>
    </row>
    <row r="1127" s="263" customFormat="1" ht="1" hidden="1" customHeight="1" spans="1:13">
      <c r="A1127" s="288" t="s">
        <v>1683</v>
      </c>
      <c r="B1127" s="289" t="s">
        <v>153</v>
      </c>
      <c r="C1127" s="290"/>
      <c r="D1127" s="291">
        <f t="shared" ref="D1127:L1127" si="834">D1128+D1131</f>
        <v>0</v>
      </c>
      <c r="E1127" s="292">
        <f t="shared" si="834"/>
        <v>0</v>
      </c>
      <c r="F1127" s="293">
        <f t="shared" si="834"/>
        <v>0</v>
      </c>
      <c r="G1127" s="291">
        <f t="shared" si="834"/>
        <v>0</v>
      </c>
      <c r="H1127" s="292">
        <f t="shared" si="834"/>
        <v>0</v>
      </c>
      <c r="I1127" s="323">
        <f t="shared" si="834"/>
        <v>0</v>
      </c>
      <c r="J1127" s="291">
        <f t="shared" si="834"/>
        <v>0</v>
      </c>
      <c r="K1127" s="292">
        <f t="shared" si="834"/>
        <v>0</v>
      </c>
      <c r="L1127" s="293">
        <f t="shared" si="834"/>
        <v>0</v>
      </c>
      <c r="M1127" s="324" t="s">
        <v>291</v>
      </c>
    </row>
    <row r="1128" s="263" customFormat="1" ht="3" hidden="1" customHeight="1" spans="1:13">
      <c r="A1128" s="294" t="s">
        <v>1684</v>
      </c>
      <c r="B1128" s="295" t="s">
        <v>1685</v>
      </c>
      <c r="C1128" s="296"/>
      <c r="D1128" s="297">
        <f t="shared" ref="D1128:L1128" si="835">D1129</f>
        <v>0</v>
      </c>
      <c r="E1128" s="298">
        <f t="shared" si="835"/>
        <v>0</v>
      </c>
      <c r="F1128" s="299">
        <f t="shared" si="835"/>
        <v>0</v>
      </c>
      <c r="G1128" s="297">
        <f t="shared" si="835"/>
        <v>0</v>
      </c>
      <c r="H1128" s="298">
        <f t="shared" si="835"/>
        <v>0</v>
      </c>
      <c r="I1128" s="325">
        <f t="shared" si="835"/>
        <v>0</v>
      </c>
      <c r="J1128" s="297">
        <f t="shared" si="835"/>
        <v>0</v>
      </c>
      <c r="K1128" s="298">
        <f t="shared" si="835"/>
        <v>0</v>
      </c>
      <c r="L1128" s="299">
        <f t="shared" si="835"/>
        <v>0</v>
      </c>
      <c r="M1128" s="326" t="s">
        <v>291</v>
      </c>
    </row>
    <row r="1129" s="263" customFormat="1" ht="28" customHeight="1" spans="1:13">
      <c r="A1129" s="300" t="s">
        <v>1686</v>
      </c>
      <c r="B1129" s="301" t="s">
        <v>1687</v>
      </c>
      <c r="C1129" s="302"/>
      <c r="D1129" s="303">
        <f t="shared" ref="D1129:L1129" si="836">D1130</f>
        <v>0</v>
      </c>
      <c r="E1129" s="304">
        <f t="shared" si="836"/>
        <v>0</v>
      </c>
      <c r="F1129" s="305">
        <f t="shared" si="836"/>
        <v>0</v>
      </c>
      <c r="G1129" s="303">
        <f t="shared" si="836"/>
        <v>0</v>
      </c>
      <c r="H1129" s="304">
        <f t="shared" si="836"/>
        <v>0</v>
      </c>
      <c r="I1129" s="327">
        <f t="shared" si="836"/>
        <v>0</v>
      </c>
      <c r="J1129" s="303">
        <f t="shared" si="836"/>
        <v>0</v>
      </c>
      <c r="K1129" s="304">
        <f t="shared" si="836"/>
        <v>0</v>
      </c>
      <c r="L1129" s="305">
        <f t="shared" si="836"/>
        <v>0</v>
      </c>
      <c r="M1129" s="328" t="s">
        <v>291</v>
      </c>
    </row>
    <row r="1130" s="263" customFormat="1" ht="24" customHeight="1" spans="1:13">
      <c r="A1130" s="306" t="s">
        <v>298</v>
      </c>
      <c r="B1130" s="307" t="s">
        <v>298</v>
      </c>
      <c r="C1130" s="308" t="s">
        <v>540</v>
      </c>
      <c r="D1130" s="309">
        <f>E1130+I1130</f>
        <v>0</v>
      </c>
      <c r="E1130" s="310">
        <f>SUBTOTAL(9,F1130:H1130)</f>
        <v>0</v>
      </c>
      <c r="F1130" s="311">
        <v>0</v>
      </c>
      <c r="G1130" s="309">
        <v>0</v>
      </c>
      <c r="H1130" s="310">
        <v>0</v>
      </c>
      <c r="I1130" s="329">
        <f>SUBTOTAL(9,J1130:L1130)</f>
        <v>0</v>
      </c>
      <c r="J1130" s="309">
        <v>0</v>
      </c>
      <c r="K1130" s="310">
        <v>0</v>
      </c>
      <c r="L1130" s="311"/>
      <c r="M1130" s="330" t="s">
        <v>1688</v>
      </c>
    </row>
    <row r="1131" s="263" customFormat="1" ht="18.75" customHeight="1" spans="1:13">
      <c r="A1131" s="294" t="s">
        <v>1689</v>
      </c>
      <c r="B1131" s="295" t="s">
        <v>1690</v>
      </c>
      <c r="C1131" s="296"/>
      <c r="D1131" s="297">
        <f t="shared" ref="D1131:L1131" si="837">D1132</f>
        <v>0</v>
      </c>
      <c r="E1131" s="298">
        <f t="shared" si="837"/>
        <v>0</v>
      </c>
      <c r="F1131" s="299">
        <f t="shared" si="837"/>
        <v>0</v>
      </c>
      <c r="G1131" s="297">
        <f t="shared" si="837"/>
        <v>0</v>
      </c>
      <c r="H1131" s="298">
        <f t="shared" si="837"/>
        <v>0</v>
      </c>
      <c r="I1131" s="325">
        <f t="shared" si="837"/>
        <v>0</v>
      </c>
      <c r="J1131" s="297">
        <f t="shared" si="837"/>
        <v>0</v>
      </c>
      <c r="K1131" s="298">
        <f t="shared" si="837"/>
        <v>0</v>
      </c>
      <c r="L1131" s="299">
        <f t="shared" si="837"/>
        <v>0</v>
      </c>
      <c r="M1131" s="326" t="s">
        <v>291</v>
      </c>
    </row>
    <row r="1132" s="263" customFormat="1" ht="22" customHeight="1" spans="1:13">
      <c r="A1132" s="300" t="s">
        <v>1691</v>
      </c>
      <c r="B1132" s="301" t="s">
        <v>1692</v>
      </c>
      <c r="C1132" s="302"/>
      <c r="D1132" s="303">
        <f t="shared" ref="D1132:L1132" si="838">D1133</f>
        <v>0</v>
      </c>
      <c r="E1132" s="304">
        <f t="shared" si="838"/>
        <v>0</v>
      </c>
      <c r="F1132" s="305">
        <f t="shared" si="838"/>
        <v>0</v>
      </c>
      <c r="G1132" s="303">
        <f t="shared" si="838"/>
        <v>0</v>
      </c>
      <c r="H1132" s="304">
        <f t="shared" si="838"/>
        <v>0</v>
      </c>
      <c r="I1132" s="327">
        <f t="shared" si="838"/>
        <v>0</v>
      </c>
      <c r="J1132" s="303">
        <f t="shared" si="838"/>
        <v>0</v>
      </c>
      <c r="K1132" s="304">
        <f t="shared" si="838"/>
        <v>0</v>
      </c>
      <c r="L1132" s="305">
        <f t="shared" si="838"/>
        <v>0</v>
      </c>
      <c r="M1132" s="328" t="s">
        <v>291</v>
      </c>
    </row>
    <row r="1133" s="263" customFormat="1" ht="28" customHeight="1" spans="1:13">
      <c r="A1133" s="306" t="s">
        <v>298</v>
      </c>
      <c r="B1133" s="307" t="s">
        <v>298</v>
      </c>
      <c r="C1133" s="308" t="s">
        <v>540</v>
      </c>
      <c r="D1133" s="309">
        <f>E1133+I1133</f>
        <v>0</v>
      </c>
      <c r="E1133" s="310">
        <f>SUBTOTAL(9,F1133:H1133)</f>
        <v>0</v>
      </c>
      <c r="F1133" s="311">
        <v>0</v>
      </c>
      <c r="G1133" s="309">
        <v>0</v>
      </c>
      <c r="H1133" s="310">
        <v>0</v>
      </c>
      <c r="I1133" s="329">
        <f>SUBTOTAL(9,J1133:L1133)</f>
        <v>0</v>
      </c>
      <c r="J1133" s="309">
        <v>0</v>
      </c>
      <c r="K1133" s="310">
        <v>0</v>
      </c>
      <c r="L1133" s="311"/>
      <c r="M1133" s="330" t="s">
        <v>1693</v>
      </c>
    </row>
    <row r="1134" s="263" customFormat="1" ht="18.75" customHeight="1" spans="1:13">
      <c r="A1134" s="288" t="s">
        <v>1694</v>
      </c>
      <c r="B1134" s="289" t="s">
        <v>1695</v>
      </c>
      <c r="C1134" s="290"/>
      <c r="D1134" s="291">
        <f t="shared" ref="D1134:L1134" si="839">D1135</f>
        <v>6171</v>
      </c>
      <c r="E1134" s="292">
        <f t="shared" si="839"/>
        <v>0</v>
      </c>
      <c r="F1134" s="293">
        <f t="shared" si="839"/>
        <v>0</v>
      </c>
      <c r="G1134" s="291">
        <f t="shared" si="839"/>
        <v>0</v>
      </c>
      <c r="H1134" s="292">
        <f t="shared" si="839"/>
        <v>0</v>
      </c>
      <c r="I1134" s="323">
        <f t="shared" si="839"/>
        <v>6171</v>
      </c>
      <c r="J1134" s="291">
        <f t="shared" si="839"/>
        <v>6171</v>
      </c>
      <c r="K1134" s="292">
        <f t="shared" si="839"/>
        <v>0</v>
      </c>
      <c r="L1134" s="293">
        <f t="shared" si="839"/>
        <v>0</v>
      </c>
      <c r="M1134" s="324" t="s">
        <v>291</v>
      </c>
    </row>
    <row r="1135" s="263" customFormat="1" ht="26" customHeight="1" spans="1:13">
      <c r="A1135" s="294" t="s">
        <v>1696</v>
      </c>
      <c r="B1135" s="295" t="s">
        <v>1697</v>
      </c>
      <c r="C1135" s="296"/>
      <c r="D1135" s="297">
        <f t="shared" ref="D1135:L1135" si="840">D1136</f>
        <v>6171</v>
      </c>
      <c r="E1135" s="298">
        <f t="shared" si="840"/>
        <v>0</v>
      </c>
      <c r="F1135" s="299">
        <f t="shared" si="840"/>
        <v>0</v>
      </c>
      <c r="G1135" s="297">
        <f t="shared" si="840"/>
        <v>0</v>
      </c>
      <c r="H1135" s="298">
        <f t="shared" si="840"/>
        <v>0</v>
      </c>
      <c r="I1135" s="325">
        <f t="shared" si="840"/>
        <v>6171</v>
      </c>
      <c r="J1135" s="297">
        <f t="shared" si="840"/>
        <v>6171</v>
      </c>
      <c r="K1135" s="298">
        <f t="shared" si="840"/>
        <v>0</v>
      </c>
      <c r="L1135" s="299">
        <f t="shared" si="840"/>
        <v>0</v>
      </c>
      <c r="M1135" s="326" t="s">
        <v>291</v>
      </c>
    </row>
    <row r="1136" s="263" customFormat="1" ht="24" customHeight="1" spans="1:13">
      <c r="A1136" s="300" t="s">
        <v>1698</v>
      </c>
      <c r="B1136" s="301" t="s">
        <v>1699</v>
      </c>
      <c r="C1136" s="302"/>
      <c r="D1136" s="303">
        <f t="shared" ref="D1136:L1136" si="841">D1137</f>
        <v>6171</v>
      </c>
      <c r="E1136" s="304">
        <f t="shared" si="841"/>
        <v>0</v>
      </c>
      <c r="F1136" s="305">
        <f t="shared" si="841"/>
        <v>0</v>
      </c>
      <c r="G1136" s="303">
        <f t="shared" si="841"/>
        <v>0</v>
      </c>
      <c r="H1136" s="304">
        <f t="shared" si="841"/>
        <v>0</v>
      </c>
      <c r="I1136" s="327">
        <f t="shared" si="841"/>
        <v>6171</v>
      </c>
      <c r="J1136" s="303">
        <f t="shared" si="841"/>
        <v>6171</v>
      </c>
      <c r="K1136" s="304">
        <f t="shared" si="841"/>
        <v>0</v>
      </c>
      <c r="L1136" s="305">
        <f t="shared" si="841"/>
        <v>0</v>
      </c>
      <c r="M1136" s="328" t="s">
        <v>291</v>
      </c>
    </row>
    <row r="1137" s="263" customFormat="1" ht="18.75" customHeight="1" spans="1:13">
      <c r="A1137" s="306" t="s">
        <v>298</v>
      </c>
      <c r="B1137" s="307" t="s">
        <v>298</v>
      </c>
      <c r="C1137" s="308"/>
      <c r="D1137" s="309">
        <f>E1137+I1137</f>
        <v>6171</v>
      </c>
      <c r="E1137" s="310">
        <f>SUBTOTAL(9,F1137:H1137)</f>
        <v>0</v>
      </c>
      <c r="F1137" s="311">
        <v>0</v>
      </c>
      <c r="G1137" s="309">
        <v>0</v>
      </c>
      <c r="H1137" s="310">
        <v>0</v>
      </c>
      <c r="I1137" s="329">
        <f>SUBTOTAL(9,J1137:L1137)</f>
        <v>6171</v>
      </c>
      <c r="J1137" s="309">
        <v>6171</v>
      </c>
      <c r="K1137" s="310">
        <v>0</v>
      </c>
      <c r="L1137" s="311">
        <v>0</v>
      </c>
      <c r="M1137" s="330" t="s">
        <v>1700</v>
      </c>
    </row>
  </sheetData>
  <autoFilter ref="A7:XEQ1136">
    <extLst/>
  </autoFilter>
  <mergeCells count="7">
    <mergeCell ref="A1:B1"/>
    <mergeCell ref="E5:H5"/>
    <mergeCell ref="A5:A6"/>
    <mergeCell ref="B5:B6"/>
    <mergeCell ref="C5:C6"/>
    <mergeCell ref="D5:D6"/>
    <mergeCell ref="M5:M6"/>
  </mergeCells>
  <pageMargins left="0.511805555555556" right="0.161111111111111" top="0.409027777777778" bottom="0.60625" header="0.5" footer="0.5"/>
  <pageSetup paperSize="9" firstPageNumber="32" orientation="landscape" useFirstPageNumber="1" horizontalDpi="600"/>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1"/>
  <sheetViews>
    <sheetView showZeros="0" workbookViewId="0">
      <selection activeCell="B5" sqref="B5:B6"/>
    </sheetView>
  </sheetViews>
  <sheetFormatPr defaultColWidth="6.86111111111111" defaultRowHeight="12.75" customHeight="1" outlineLevelCol="4"/>
  <cols>
    <col min="1" max="1" width="14.6296296296296" style="243" customWidth="1"/>
    <col min="2" max="2" width="30.6296296296296" style="243" customWidth="1"/>
    <col min="3" max="5" width="25" style="246" customWidth="1"/>
    <col min="6" max="256" width="6.86111111111111" style="243" customWidth="1"/>
    <col min="257" max="16384" width="6.86111111111111" style="243"/>
  </cols>
  <sheetData>
    <row r="1" ht="21" customHeight="1" spans="1:1">
      <c r="A1" s="247" t="s">
        <v>1701</v>
      </c>
    </row>
    <row r="2" s="243" customFormat="1" ht="35" customHeight="1" spans="1:5">
      <c r="A2" s="248" t="s">
        <v>1702</v>
      </c>
      <c r="B2" s="248"/>
      <c r="C2" s="248"/>
      <c r="D2" s="248"/>
      <c r="E2" s="248"/>
    </row>
    <row r="3" s="243" customFormat="1" ht="22" customHeight="1" spans="3:5">
      <c r="C3" s="246"/>
      <c r="D3" s="246"/>
      <c r="E3" s="249" t="s">
        <v>2</v>
      </c>
    </row>
    <row r="4" s="244" customFormat="1" ht="33" customHeight="1" spans="1:5">
      <c r="A4" s="250" t="s">
        <v>1703</v>
      </c>
      <c r="B4" s="250" t="s">
        <v>1704</v>
      </c>
      <c r="C4" s="251" t="s">
        <v>14</v>
      </c>
      <c r="D4" s="252" t="s">
        <v>281</v>
      </c>
      <c r="E4" s="252" t="s">
        <v>282</v>
      </c>
    </row>
    <row r="5" s="245" customFormat="1" ht="24" customHeight="1" spans="1:5">
      <c r="A5" s="253"/>
      <c r="B5" s="253" t="s">
        <v>123</v>
      </c>
      <c r="C5" s="254">
        <f>C6+C11+C22+C30+C37+C41+C44+C48+C51+C57+C61+C66+C69+C74+C77</f>
        <v>323466.7962</v>
      </c>
      <c r="D5" s="255">
        <f>D6+D11+D22+D30+D37+D41+D44+D48+D51+D57+D61+D66+D69+D74+D77</f>
        <v>104711.1413</v>
      </c>
      <c r="E5" s="255">
        <f>E6+E11+E22+E30+E37+E41+E44+E48+E51+E57+E61+E66+E69+E74+E77</f>
        <v>218755.6549</v>
      </c>
    </row>
    <row r="6" s="22" customFormat="1" ht="21" customHeight="1" spans="1:5">
      <c r="A6" s="256" t="s">
        <v>1705</v>
      </c>
      <c r="B6" s="256" t="s">
        <v>1706</v>
      </c>
      <c r="C6" s="257">
        <f>SUM(C7:C10)</f>
        <v>35725.2728</v>
      </c>
      <c r="D6" s="258">
        <f>SUM(D7:D10)</f>
        <v>35018.115</v>
      </c>
      <c r="E6" s="258">
        <f>SUM(E7:E10)</f>
        <v>707.1578</v>
      </c>
    </row>
    <row r="7" s="22" customFormat="1" ht="21" customHeight="1" spans="1:5">
      <c r="A7" s="259" t="s">
        <v>1707</v>
      </c>
      <c r="B7" s="259" t="s">
        <v>1708</v>
      </c>
      <c r="C7" s="260">
        <f>D7+E7</f>
        <v>18446.3362</v>
      </c>
      <c r="D7" s="261">
        <v>18443.3362</v>
      </c>
      <c r="E7" s="261">
        <v>3</v>
      </c>
    </row>
    <row r="8" s="22" customFormat="1" ht="21" customHeight="1" spans="1:5">
      <c r="A8" s="259" t="s">
        <v>1709</v>
      </c>
      <c r="B8" s="259" t="s">
        <v>1710</v>
      </c>
      <c r="C8" s="260">
        <f>D8+E8</f>
        <v>6272.4952</v>
      </c>
      <c r="D8" s="261">
        <v>6272.4952</v>
      </c>
      <c r="E8" s="261">
        <v>0</v>
      </c>
    </row>
    <row r="9" s="22" customFormat="1" ht="21" customHeight="1" spans="1:5">
      <c r="A9" s="259" t="s">
        <v>1711</v>
      </c>
      <c r="B9" s="259" t="s">
        <v>1712</v>
      </c>
      <c r="C9" s="260">
        <f>D9+E9</f>
        <v>2630.6416</v>
      </c>
      <c r="D9" s="261">
        <v>2625.844</v>
      </c>
      <c r="E9" s="261">
        <v>4.7976</v>
      </c>
    </row>
    <row r="10" s="22" customFormat="1" ht="21" customHeight="1" spans="1:5">
      <c r="A10" s="259" t="s">
        <v>1713</v>
      </c>
      <c r="B10" s="259" t="s">
        <v>1714</v>
      </c>
      <c r="C10" s="260">
        <f>D10+E10</f>
        <v>8375.7998</v>
      </c>
      <c r="D10" s="261">
        <v>7676.4396</v>
      </c>
      <c r="E10" s="261">
        <v>699.3602</v>
      </c>
    </row>
    <row r="11" s="22" customFormat="1" ht="21" customHeight="1" spans="1:5">
      <c r="A11" s="256" t="s">
        <v>1715</v>
      </c>
      <c r="B11" s="256" t="s">
        <v>1716</v>
      </c>
      <c r="C11" s="257">
        <f>SUM(C12:C21)</f>
        <v>16344.4965</v>
      </c>
      <c r="D11" s="258">
        <f>SUM(D12:D21)</f>
        <v>3831.4508</v>
      </c>
      <c r="E11" s="258">
        <f>SUM(E12:E21)</f>
        <v>12513.0457</v>
      </c>
    </row>
    <row r="12" s="22" customFormat="1" ht="21" customHeight="1" spans="1:5">
      <c r="A12" s="259" t="s">
        <v>1717</v>
      </c>
      <c r="B12" s="259" t="s">
        <v>1718</v>
      </c>
      <c r="C12" s="260">
        <f t="shared" ref="C12:C21" si="0">D12+E12</f>
        <v>8957.8828</v>
      </c>
      <c r="D12" s="261">
        <v>3314.3679</v>
      </c>
      <c r="E12" s="261">
        <v>5643.5149</v>
      </c>
    </row>
    <row r="13" s="22" customFormat="1" ht="21" customHeight="1" spans="1:5">
      <c r="A13" s="259" t="s">
        <v>1719</v>
      </c>
      <c r="B13" s="259" t="s">
        <v>1720</v>
      </c>
      <c r="C13" s="260">
        <f t="shared" si="0"/>
        <v>463.974</v>
      </c>
      <c r="D13" s="261">
        <v>0</v>
      </c>
      <c r="E13" s="261">
        <v>463.974</v>
      </c>
    </row>
    <row r="14" s="22" customFormat="1" ht="21" customHeight="1" spans="1:5">
      <c r="A14" s="259" t="s">
        <v>1721</v>
      </c>
      <c r="B14" s="259" t="s">
        <v>1722</v>
      </c>
      <c r="C14" s="260">
        <f t="shared" si="0"/>
        <v>516.335</v>
      </c>
      <c r="D14" s="261">
        <v>0</v>
      </c>
      <c r="E14" s="261">
        <v>516.335</v>
      </c>
    </row>
    <row r="15" s="22" customFormat="1" ht="21" customHeight="1" spans="1:5">
      <c r="A15" s="259" t="s">
        <v>1723</v>
      </c>
      <c r="B15" s="259" t="s">
        <v>1724</v>
      </c>
      <c r="C15" s="260">
        <f t="shared" si="0"/>
        <v>215.74</v>
      </c>
      <c r="D15" s="261">
        <v>0</v>
      </c>
      <c r="E15" s="261">
        <v>215.74</v>
      </c>
    </row>
    <row r="16" s="22" customFormat="1" ht="21" customHeight="1" spans="1:5">
      <c r="A16" s="259" t="s">
        <v>1725</v>
      </c>
      <c r="B16" s="259" t="s">
        <v>1726</v>
      </c>
      <c r="C16" s="260">
        <f t="shared" si="0"/>
        <v>2527.096</v>
      </c>
      <c r="D16" s="261">
        <v>0</v>
      </c>
      <c r="E16" s="261">
        <v>2527.096</v>
      </c>
    </row>
    <row r="17" s="22" customFormat="1" ht="21" customHeight="1" spans="1:5">
      <c r="A17" s="259" t="s">
        <v>1727</v>
      </c>
      <c r="B17" s="259" t="s">
        <v>1728</v>
      </c>
      <c r="C17" s="260">
        <f t="shared" si="0"/>
        <v>361.626</v>
      </c>
      <c r="D17" s="261">
        <v>0</v>
      </c>
      <c r="E17" s="261">
        <v>361.626</v>
      </c>
    </row>
    <row r="18" s="22" customFormat="1" ht="21" customHeight="1" spans="1:5">
      <c r="A18" s="259" t="s">
        <v>1729</v>
      </c>
      <c r="B18" s="259" t="s">
        <v>1730</v>
      </c>
      <c r="C18" s="260">
        <f t="shared" si="0"/>
        <v>0.5</v>
      </c>
      <c r="D18" s="261">
        <v>0</v>
      </c>
      <c r="E18" s="261">
        <v>0.5</v>
      </c>
    </row>
    <row r="19" s="22" customFormat="1" ht="21" customHeight="1" spans="1:5">
      <c r="A19" s="259" t="s">
        <v>1731</v>
      </c>
      <c r="B19" s="259" t="s">
        <v>1732</v>
      </c>
      <c r="C19" s="260">
        <f t="shared" si="0"/>
        <v>626.6779</v>
      </c>
      <c r="D19" s="261">
        <v>517.0829</v>
      </c>
      <c r="E19" s="261">
        <v>109.595</v>
      </c>
    </row>
    <row r="20" s="22" customFormat="1" ht="21" customHeight="1" spans="1:5">
      <c r="A20" s="259" t="s">
        <v>1733</v>
      </c>
      <c r="B20" s="259" t="s">
        <v>1734</v>
      </c>
      <c r="C20" s="260">
        <f t="shared" si="0"/>
        <v>308.58</v>
      </c>
      <c r="D20" s="261">
        <v>0</v>
      </c>
      <c r="E20" s="261">
        <v>308.58</v>
      </c>
    </row>
    <row r="21" s="22" customFormat="1" ht="21" customHeight="1" spans="1:5">
      <c r="A21" s="259" t="s">
        <v>1735</v>
      </c>
      <c r="B21" s="259" t="s">
        <v>1736</v>
      </c>
      <c r="C21" s="260">
        <f t="shared" si="0"/>
        <v>2366.0848</v>
      </c>
      <c r="D21" s="261">
        <v>0</v>
      </c>
      <c r="E21" s="261">
        <f>2406.0848-3-37</f>
        <v>2366.0848</v>
      </c>
    </row>
    <row r="22" s="22" customFormat="1" ht="21" customHeight="1" spans="1:5">
      <c r="A22" s="256" t="s">
        <v>1737</v>
      </c>
      <c r="B22" s="256" t="s">
        <v>1738</v>
      </c>
      <c r="C22" s="257">
        <f>SUM(C23:C29)</f>
        <v>1701.27</v>
      </c>
      <c r="D22" s="258">
        <f>SUM(D23:D29)</f>
        <v>0</v>
      </c>
      <c r="E22" s="258">
        <f>SUM(E23:E29)</f>
        <v>1701.27</v>
      </c>
    </row>
    <row r="23" s="22" customFormat="1" ht="21" customHeight="1" spans="1:5">
      <c r="A23" s="259" t="s">
        <v>1739</v>
      </c>
      <c r="B23" s="259" t="s">
        <v>1740</v>
      </c>
      <c r="C23" s="260">
        <f t="shared" ref="C23:C29" si="1">D23+E23</f>
        <v>30</v>
      </c>
      <c r="D23" s="261">
        <v>0</v>
      </c>
      <c r="E23" s="261">
        <v>30</v>
      </c>
    </row>
    <row r="24" s="22" customFormat="1" ht="21" customHeight="1" spans="1:5">
      <c r="A24" s="259" t="s">
        <v>1741</v>
      </c>
      <c r="B24" s="259" t="s">
        <v>1742</v>
      </c>
      <c r="C24" s="260">
        <f t="shared" si="1"/>
        <v>823</v>
      </c>
      <c r="D24" s="261">
        <v>0</v>
      </c>
      <c r="E24" s="261">
        <v>823</v>
      </c>
    </row>
    <row r="25" s="22" customFormat="1" ht="21" customHeight="1" spans="1:5">
      <c r="A25" s="259" t="s">
        <v>1743</v>
      </c>
      <c r="B25" s="259" t="s">
        <v>1744</v>
      </c>
      <c r="C25" s="260">
        <f t="shared" si="1"/>
        <v>40</v>
      </c>
      <c r="D25" s="261">
        <v>0</v>
      </c>
      <c r="E25" s="261">
        <v>40</v>
      </c>
    </row>
    <row r="26" s="22" customFormat="1" ht="21" customHeight="1" spans="1:5">
      <c r="A26" s="259" t="s">
        <v>1745</v>
      </c>
      <c r="B26" s="259" t="s">
        <v>1746</v>
      </c>
      <c r="C26" s="260">
        <f t="shared" si="1"/>
        <v>0</v>
      </c>
      <c r="D26" s="261">
        <v>0</v>
      </c>
      <c r="E26" s="261">
        <v>0</v>
      </c>
    </row>
    <row r="27" s="22" customFormat="1" ht="21" customHeight="1" spans="1:5">
      <c r="A27" s="259" t="s">
        <v>1747</v>
      </c>
      <c r="B27" s="259" t="s">
        <v>1748</v>
      </c>
      <c r="C27" s="260">
        <f t="shared" si="1"/>
        <v>262.91</v>
      </c>
      <c r="D27" s="261">
        <v>0</v>
      </c>
      <c r="E27" s="261">
        <v>262.91</v>
      </c>
    </row>
    <row r="28" s="22" customFormat="1" ht="21" customHeight="1" spans="1:5">
      <c r="A28" s="259" t="s">
        <v>1749</v>
      </c>
      <c r="B28" s="259" t="s">
        <v>1750</v>
      </c>
      <c r="C28" s="260">
        <f t="shared" si="1"/>
        <v>10</v>
      </c>
      <c r="D28" s="261">
        <v>0</v>
      </c>
      <c r="E28" s="261">
        <v>10</v>
      </c>
    </row>
    <row r="29" s="22" customFormat="1" ht="21" customHeight="1" spans="1:5">
      <c r="A29" s="259" t="s">
        <v>1751</v>
      </c>
      <c r="B29" s="259" t="s">
        <v>1752</v>
      </c>
      <c r="C29" s="260">
        <f t="shared" si="1"/>
        <v>535.36</v>
      </c>
      <c r="D29" s="261">
        <v>0</v>
      </c>
      <c r="E29" s="261">
        <v>535.36</v>
      </c>
    </row>
    <row r="30" s="22" customFormat="1" ht="21" customHeight="1" spans="1:5">
      <c r="A30" s="256" t="s">
        <v>1753</v>
      </c>
      <c r="B30" s="256" t="s">
        <v>1754</v>
      </c>
      <c r="C30" s="257">
        <f>SUM(C31:C36)</f>
        <v>0</v>
      </c>
      <c r="D30" s="258">
        <f>SUM(D31:D36)</f>
        <v>0</v>
      </c>
      <c r="E30" s="258">
        <f>SUM(E31:E36)</f>
        <v>0</v>
      </c>
    </row>
    <row r="31" s="22" customFormat="1" ht="21" customHeight="1" spans="1:5">
      <c r="A31" s="259" t="s">
        <v>1755</v>
      </c>
      <c r="B31" s="259" t="s">
        <v>1740</v>
      </c>
      <c r="C31" s="260">
        <f t="shared" ref="C31:C36" si="2">D31+E31</f>
        <v>0</v>
      </c>
      <c r="D31" s="261">
        <v>0</v>
      </c>
      <c r="E31" s="261">
        <v>0</v>
      </c>
    </row>
    <row r="32" s="22" customFormat="1" ht="21" customHeight="1" spans="1:5">
      <c r="A32" s="259" t="s">
        <v>1756</v>
      </c>
      <c r="B32" s="259" t="s">
        <v>1742</v>
      </c>
      <c r="C32" s="260">
        <f t="shared" si="2"/>
        <v>0</v>
      </c>
      <c r="D32" s="261">
        <v>0</v>
      </c>
      <c r="E32" s="261">
        <v>0</v>
      </c>
    </row>
    <row r="33" s="22" customFormat="1" ht="21" customHeight="1" spans="1:5">
      <c r="A33" s="259" t="s">
        <v>1757</v>
      </c>
      <c r="B33" s="259" t="s">
        <v>1744</v>
      </c>
      <c r="C33" s="260">
        <f t="shared" si="2"/>
        <v>0</v>
      </c>
      <c r="D33" s="261">
        <v>0</v>
      </c>
      <c r="E33" s="261">
        <v>0</v>
      </c>
    </row>
    <row r="34" s="22" customFormat="1" ht="21" customHeight="1" spans="1:5">
      <c r="A34" s="259" t="s">
        <v>1758</v>
      </c>
      <c r="B34" s="259" t="s">
        <v>1748</v>
      </c>
      <c r="C34" s="260">
        <f t="shared" si="2"/>
        <v>0</v>
      </c>
      <c r="D34" s="261">
        <v>0</v>
      </c>
      <c r="E34" s="261">
        <v>0</v>
      </c>
    </row>
    <row r="35" s="22" customFormat="1" ht="21" customHeight="1" spans="1:5">
      <c r="A35" s="259" t="s">
        <v>1759</v>
      </c>
      <c r="B35" s="259" t="s">
        <v>1750</v>
      </c>
      <c r="C35" s="260">
        <f t="shared" si="2"/>
        <v>0</v>
      </c>
      <c r="D35" s="261">
        <v>0</v>
      </c>
      <c r="E35" s="261">
        <v>0</v>
      </c>
    </row>
    <row r="36" s="22" customFormat="1" ht="21" customHeight="1" spans="1:5">
      <c r="A36" s="259" t="s">
        <v>1760</v>
      </c>
      <c r="B36" s="259" t="s">
        <v>1752</v>
      </c>
      <c r="C36" s="260">
        <f t="shared" si="2"/>
        <v>0</v>
      </c>
      <c r="D36" s="261">
        <v>0</v>
      </c>
      <c r="E36" s="261">
        <v>0</v>
      </c>
    </row>
    <row r="37" s="22" customFormat="1" ht="21" customHeight="1" spans="1:5">
      <c r="A37" s="256" t="s">
        <v>1761</v>
      </c>
      <c r="B37" s="256" t="s">
        <v>1762</v>
      </c>
      <c r="C37" s="257">
        <f>SUM(C38:C40)</f>
        <v>61679.811</v>
      </c>
      <c r="D37" s="258">
        <f>SUM(D38:D40)</f>
        <v>57574.3506</v>
      </c>
      <c r="E37" s="258">
        <f>SUM(E38:E40)</f>
        <v>4105.4604</v>
      </c>
    </row>
    <row r="38" s="22" customFormat="1" ht="21" customHeight="1" spans="1:5">
      <c r="A38" s="259" t="s">
        <v>1763</v>
      </c>
      <c r="B38" s="259" t="s">
        <v>1764</v>
      </c>
      <c r="C38" s="260">
        <f>D38+E38</f>
        <v>57662.7738</v>
      </c>
      <c r="D38" s="261">
        <v>56393.6623</v>
      </c>
      <c r="E38" s="261">
        <v>1269.1115</v>
      </c>
    </row>
    <row r="39" s="22" customFormat="1" ht="21" customHeight="1" spans="1:5">
      <c r="A39" s="259" t="s">
        <v>1765</v>
      </c>
      <c r="B39" s="259" t="s">
        <v>1766</v>
      </c>
      <c r="C39" s="260">
        <f>D39+E39</f>
        <v>4017.0372</v>
      </c>
      <c r="D39" s="261">
        <v>1180.6883</v>
      </c>
      <c r="E39" s="261">
        <v>2836.3489</v>
      </c>
    </row>
    <row r="40" s="22" customFormat="1" ht="21" customHeight="1" spans="1:5">
      <c r="A40" s="259" t="s">
        <v>1767</v>
      </c>
      <c r="B40" s="259" t="s">
        <v>1768</v>
      </c>
      <c r="C40" s="260">
        <f>D40+E40</f>
        <v>0</v>
      </c>
      <c r="D40" s="261">
        <v>0</v>
      </c>
      <c r="E40" s="261">
        <v>0</v>
      </c>
    </row>
    <row r="41" s="22" customFormat="1" ht="21" customHeight="1" spans="1:5">
      <c r="A41" s="256" t="s">
        <v>1769</v>
      </c>
      <c r="B41" s="256" t="s">
        <v>1770</v>
      </c>
      <c r="C41" s="257">
        <f>SUM(C42:C43)</f>
        <v>22.67</v>
      </c>
      <c r="D41" s="258">
        <f>SUM(D42:D43)</f>
        <v>0</v>
      </c>
      <c r="E41" s="258">
        <f>SUM(E42:E43)</f>
        <v>22.67</v>
      </c>
    </row>
    <row r="42" s="22" customFormat="1" ht="21" customHeight="1" spans="1:5">
      <c r="A42" s="259" t="s">
        <v>1771</v>
      </c>
      <c r="B42" s="259" t="s">
        <v>1772</v>
      </c>
      <c r="C42" s="260">
        <f>D42+E42</f>
        <v>20.67</v>
      </c>
      <c r="D42" s="261">
        <v>0</v>
      </c>
      <c r="E42" s="261">
        <v>20.67</v>
      </c>
    </row>
    <row r="43" s="22" customFormat="1" ht="21" customHeight="1" spans="1:5">
      <c r="A43" s="259" t="s">
        <v>1773</v>
      </c>
      <c r="B43" s="259" t="s">
        <v>1774</v>
      </c>
      <c r="C43" s="260">
        <f>D43+E43</f>
        <v>2</v>
      </c>
      <c r="D43" s="261">
        <v>0</v>
      </c>
      <c r="E43" s="261">
        <v>2</v>
      </c>
    </row>
    <row r="44" s="22" customFormat="1" ht="21" customHeight="1" spans="1:5">
      <c r="A44" s="256" t="s">
        <v>1775</v>
      </c>
      <c r="B44" s="256" t="s">
        <v>1776</v>
      </c>
      <c r="C44" s="257">
        <f>SUM(C45:C47)</f>
        <v>74.4</v>
      </c>
      <c r="D44" s="258">
        <f>SUM(D45:D47)</f>
        <v>0</v>
      </c>
      <c r="E44" s="258">
        <f>SUM(E45:E47)</f>
        <v>74.4</v>
      </c>
    </row>
    <row r="45" s="22" customFormat="1" ht="21" customHeight="1" spans="1:5">
      <c r="A45" s="259" t="s">
        <v>1777</v>
      </c>
      <c r="B45" s="259" t="s">
        <v>1778</v>
      </c>
      <c r="C45" s="260">
        <f>D45+E45</f>
        <v>0</v>
      </c>
      <c r="D45" s="261">
        <v>0</v>
      </c>
      <c r="E45" s="261">
        <v>0</v>
      </c>
    </row>
    <row r="46" s="22" customFormat="1" ht="21" customHeight="1" spans="1:5">
      <c r="A46" s="259" t="s">
        <v>1779</v>
      </c>
      <c r="B46" s="259" t="s">
        <v>1780</v>
      </c>
      <c r="C46" s="260">
        <f>D46+E46</f>
        <v>0</v>
      </c>
      <c r="D46" s="261">
        <v>0</v>
      </c>
      <c r="E46" s="261">
        <v>0</v>
      </c>
    </row>
    <row r="47" s="22" customFormat="1" ht="21" customHeight="1" spans="1:5">
      <c r="A47" s="259" t="s">
        <v>1781</v>
      </c>
      <c r="B47" s="259" t="s">
        <v>1782</v>
      </c>
      <c r="C47" s="260">
        <f>D47+E47</f>
        <v>74.4</v>
      </c>
      <c r="D47" s="261">
        <v>0</v>
      </c>
      <c r="E47" s="261">
        <v>74.4</v>
      </c>
    </row>
    <row r="48" s="22" customFormat="1" ht="21" customHeight="1" spans="1:5">
      <c r="A48" s="256" t="s">
        <v>1783</v>
      </c>
      <c r="B48" s="256" t="s">
        <v>1784</v>
      </c>
      <c r="C48" s="257">
        <f>SUM(C49:C50)</f>
        <v>0</v>
      </c>
      <c r="D48" s="258">
        <f>SUM(D49:D50)</f>
        <v>0</v>
      </c>
      <c r="E48" s="258">
        <f>SUM(E49:E50)</f>
        <v>0</v>
      </c>
    </row>
    <row r="49" s="22" customFormat="1" ht="21" customHeight="1" spans="1:5">
      <c r="A49" s="259" t="s">
        <v>1785</v>
      </c>
      <c r="B49" s="259" t="s">
        <v>1786</v>
      </c>
      <c r="C49" s="260">
        <f>D49+E49</f>
        <v>0</v>
      </c>
      <c r="D49" s="261">
        <v>0</v>
      </c>
      <c r="E49" s="261">
        <v>0</v>
      </c>
    </row>
    <row r="50" s="22" customFormat="1" ht="21" customHeight="1" spans="1:5">
      <c r="A50" s="259" t="s">
        <v>1787</v>
      </c>
      <c r="B50" s="259" t="s">
        <v>1788</v>
      </c>
      <c r="C50" s="260">
        <f>D50+E50</f>
        <v>0</v>
      </c>
      <c r="D50" s="261">
        <v>0</v>
      </c>
      <c r="E50" s="261">
        <v>0</v>
      </c>
    </row>
    <row r="51" s="22" customFormat="1" ht="21" customHeight="1" spans="1:5">
      <c r="A51" s="256" t="s">
        <v>1789</v>
      </c>
      <c r="B51" s="256" t="s">
        <v>1790</v>
      </c>
      <c r="C51" s="257">
        <f>SUM(C52:C56)</f>
        <v>12290.265</v>
      </c>
      <c r="D51" s="258">
        <f>SUM(D52:D56)</f>
        <v>8287.2249</v>
      </c>
      <c r="E51" s="258">
        <f>SUM(E52:E56)</f>
        <v>4003.0401</v>
      </c>
    </row>
    <row r="52" s="22" customFormat="1" ht="21" customHeight="1" spans="1:5">
      <c r="A52" s="259" t="s">
        <v>1791</v>
      </c>
      <c r="B52" s="259" t="s">
        <v>1792</v>
      </c>
      <c r="C52" s="260">
        <f>D52+E52</f>
        <v>6097.9341</v>
      </c>
      <c r="D52" s="261">
        <v>3536.294</v>
      </c>
      <c r="E52" s="261">
        <v>2561.6401</v>
      </c>
    </row>
    <row r="53" s="22" customFormat="1" ht="21" customHeight="1" spans="1:5">
      <c r="A53" s="259" t="s">
        <v>1793</v>
      </c>
      <c r="B53" s="259" t="s">
        <v>1794</v>
      </c>
      <c r="C53" s="260">
        <f>D53+E53</f>
        <v>153.52</v>
      </c>
      <c r="D53" s="261">
        <v>0</v>
      </c>
      <c r="E53" s="261">
        <v>153.52</v>
      </c>
    </row>
    <row r="54" s="22" customFormat="1" ht="21" customHeight="1" spans="1:5">
      <c r="A54" s="259" t="s">
        <v>1795</v>
      </c>
      <c r="B54" s="259" t="s">
        <v>1796</v>
      </c>
      <c r="C54" s="260">
        <f>D54+E54</f>
        <v>78.2</v>
      </c>
      <c r="D54" s="261">
        <v>0</v>
      </c>
      <c r="E54" s="261">
        <v>78.2</v>
      </c>
    </row>
    <row r="55" s="22" customFormat="1" ht="21" customHeight="1" spans="1:5">
      <c r="A55" s="259" t="s">
        <v>1797</v>
      </c>
      <c r="B55" s="259" t="s">
        <v>1798</v>
      </c>
      <c r="C55" s="260">
        <f>D55+E55</f>
        <v>329.7483</v>
      </c>
      <c r="D55" s="261">
        <v>329.7483</v>
      </c>
      <c r="E55" s="261">
        <v>0</v>
      </c>
    </row>
    <row r="56" s="22" customFormat="1" ht="21" customHeight="1" spans="1:5">
      <c r="A56" s="259" t="s">
        <v>1799</v>
      </c>
      <c r="B56" s="259" t="s">
        <v>1800</v>
      </c>
      <c r="C56" s="260">
        <f>D56+E56</f>
        <v>5630.8626</v>
      </c>
      <c r="D56" s="261">
        <v>4421.1826</v>
      </c>
      <c r="E56" s="261">
        <v>1209.68</v>
      </c>
    </row>
    <row r="57" s="22" customFormat="1" ht="21" customHeight="1" spans="1:5">
      <c r="A57" s="256" t="s">
        <v>1801</v>
      </c>
      <c r="B57" s="256" t="s">
        <v>1802</v>
      </c>
      <c r="C57" s="257">
        <f>SUM(C58:C60)</f>
        <v>477.2234</v>
      </c>
      <c r="D57" s="258">
        <f>SUM(D58:D60)</f>
        <v>0</v>
      </c>
      <c r="E57" s="258">
        <f>SUM(E58:E60)</f>
        <v>477.2234</v>
      </c>
    </row>
    <row r="58" s="22" customFormat="1" ht="21" customHeight="1" spans="1:5">
      <c r="A58" s="259" t="s">
        <v>1803</v>
      </c>
      <c r="B58" s="259" t="s">
        <v>1804</v>
      </c>
      <c r="C58" s="260">
        <f>D58+E58</f>
        <v>477.2234</v>
      </c>
      <c r="D58" s="261">
        <v>0</v>
      </c>
      <c r="E58" s="261">
        <v>477.2234</v>
      </c>
    </row>
    <row r="59" s="22" customFormat="1" ht="21" customHeight="1" spans="1:5">
      <c r="A59" s="259" t="s">
        <v>1805</v>
      </c>
      <c r="B59" s="259" t="s">
        <v>1806</v>
      </c>
      <c r="C59" s="260">
        <f>D59+E59</f>
        <v>0</v>
      </c>
      <c r="D59" s="261">
        <v>0</v>
      </c>
      <c r="E59" s="261">
        <v>0</v>
      </c>
    </row>
    <row r="60" s="22" customFormat="1" ht="21" customHeight="1" spans="1:5">
      <c r="A60" s="259" t="s">
        <v>1807</v>
      </c>
      <c r="B60" s="259" t="s">
        <v>1808</v>
      </c>
      <c r="C60" s="260">
        <f>D60+E60</f>
        <v>0</v>
      </c>
      <c r="D60" s="261">
        <v>0</v>
      </c>
      <c r="E60" s="261">
        <v>0</v>
      </c>
    </row>
    <row r="61" s="22" customFormat="1" ht="21" customHeight="1" spans="1:5">
      <c r="A61" s="256" t="s">
        <v>1809</v>
      </c>
      <c r="B61" s="256" t="s">
        <v>1810</v>
      </c>
      <c r="C61" s="257">
        <f>SUM(C62:C65)</f>
        <v>6171</v>
      </c>
      <c r="D61" s="258">
        <f>SUM(D62:D65)</f>
        <v>0</v>
      </c>
      <c r="E61" s="258">
        <f>SUM(E62:E65)</f>
        <v>6171</v>
      </c>
    </row>
    <row r="62" s="22" customFormat="1" ht="21" customHeight="1" spans="1:5">
      <c r="A62" s="259" t="s">
        <v>1811</v>
      </c>
      <c r="B62" s="259" t="s">
        <v>1812</v>
      </c>
      <c r="C62" s="260">
        <f>D62+E62</f>
        <v>6171</v>
      </c>
      <c r="D62" s="261">
        <v>0</v>
      </c>
      <c r="E62" s="261">
        <v>6171</v>
      </c>
    </row>
    <row r="63" s="22" customFormat="1" ht="21" customHeight="1" spans="1:5">
      <c r="A63" s="259" t="s">
        <v>1813</v>
      </c>
      <c r="B63" s="259" t="s">
        <v>1814</v>
      </c>
      <c r="C63" s="260">
        <f>D63+E63</f>
        <v>0</v>
      </c>
      <c r="D63" s="261">
        <v>0</v>
      </c>
      <c r="E63" s="261">
        <v>0</v>
      </c>
    </row>
    <row r="64" s="22" customFormat="1" ht="21" customHeight="1" spans="1:5">
      <c r="A64" s="259" t="s">
        <v>1815</v>
      </c>
      <c r="B64" s="259" t="s">
        <v>1816</v>
      </c>
      <c r="C64" s="260">
        <f>D64+E64</f>
        <v>0</v>
      </c>
      <c r="D64" s="261">
        <v>0</v>
      </c>
      <c r="E64" s="261">
        <v>0</v>
      </c>
    </row>
    <row r="65" s="22" customFormat="1" ht="19" customHeight="1" spans="1:5">
      <c r="A65" s="259" t="s">
        <v>1817</v>
      </c>
      <c r="B65" s="259" t="s">
        <v>1818</v>
      </c>
      <c r="C65" s="260">
        <f>D65+E65</f>
        <v>0</v>
      </c>
      <c r="D65" s="261">
        <v>0</v>
      </c>
      <c r="E65" s="261">
        <v>0</v>
      </c>
    </row>
    <row r="66" s="22" customFormat="1" ht="21" hidden="1" customHeight="1" spans="1:5">
      <c r="A66" s="256" t="s">
        <v>1819</v>
      </c>
      <c r="B66" s="256" t="s">
        <v>1820</v>
      </c>
      <c r="C66" s="257">
        <f>SUM(C67:C68)</f>
        <v>0</v>
      </c>
      <c r="D66" s="258">
        <f>SUM(D67:D68)</f>
        <v>0</v>
      </c>
      <c r="E66" s="258">
        <f>SUM(E67:E68)</f>
        <v>0</v>
      </c>
    </row>
    <row r="67" s="22" customFormat="1" ht="21" hidden="1" customHeight="1" spans="1:5">
      <c r="A67" s="259" t="s">
        <v>1821</v>
      </c>
      <c r="B67" s="259" t="s">
        <v>1822</v>
      </c>
      <c r="C67" s="260">
        <f>D67+E67</f>
        <v>0</v>
      </c>
      <c r="D67" s="261">
        <v>0</v>
      </c>
      <c r="E67" s="261">
        <v>0</v>
      </c>
    </row>
    <row r="68" s="22" customFormat="1" ht="21" hidden="1" customHeight="1" spans="1:5">
      <c r="A68" s="259" t="s">
        <v>1823</v>
      </c>
      <c r="B68" s="259" t="s">
        <v>1824</v>
      </c>
      <c r="C68" s="260">
        <f>D68+E68</f>
        <v>0</v>
      </c>
      <c r="D68" s="261">
        <v>0</v>
      </c>
      <c r="E68" s="261">
        <v>0</v>
      </c>
    </row>
    <row r="69" s="22" customFormat="1" ht="21" hidden="1" customHeight="1" spans="1:5">
      <c r="A69" s="256" t="s">
        <v>1825</v>
      </c>
      <c r="B69" s="256" t="s">
        <v>153</v>
      </c>
      <c r="C69" s="257">
        <f>SUM(C70:C73)</f>
        <v>0</v>
      </c>
      <c r="D69" s="258">
        <f>SUM(D70:D73)</f>
        <v>0</v>
      </c>
      <c r="E69" s="258">
        <f>SUM(E70:E73)</f>
        <v>0</v>
      </c>
    </row>
    <row r="70" s="22" customFormat="1" ht="21" hidden="1" customHeight="1" spans="1:5">
      <c r="A70" s="259" t="s">
        <v>1826</v>
      </c>
      <c r="B70" s="259" t="s">
        <v>1827</v>
      </c>
      <c r="C70" s="260">
        <f>D70+E70</f>
        <v>0</v>
      </c>
      <c r="D70" s="261">
        <v>0</v>
      </c>
      <c r="E70" s="261">
        <v>0</v>
      </c>
    </row>
    <row r="71" s="22" customFormat="1" ht="21" hidden="1" customHeight="1" spans="1:5">
      <c r="A71" s="259" t="s">
        <v>1828</v>
      </c>
      <c r="B71" s="259" t="s">
        <v>1829</v>
      </c>
      <c r="C71" s="260">
        <f>D71+E71</f>
        <v>0</v>
      </c>
      <c r="D71" s="261">
        <v>0</v>
      </c>
      <c r="E71" s="261">
        <v>0</v>
      </c>
    </row>
    <row r="72" s="22" customFormat="1" ht="21" hidden="1" customHeight="1" spans="1:5">
      <c r="A72" s="259" t="s">
        <v>1830</v>
      </c>
      <c r="B72" s="259" t="s">
        <v>1831</v>
      </c>
      <c r="C72" s="260">
        <f>D72+E72</f>
        <v>0</v>
      </c>
      <c r="D72" s="261">
        <v>0</v>
      </c>
      <c r="E72" s="261">
        <v>0</v>
      </c>
    </row>
    <row r="73" s="22" customFormat="1" ht="21" hidden="1" customHeight="1" spans="1:5">
      <c r="A73" s="259" t="s">
        <v>1832</v>
      </c>
      <c r="B73" s="259" t="s">
        <v>1833</v>
      </c>
      <c r="C73" s="260">
        <f>D73+E73</f>
        <v>0</v>
      </c>
      <c r="D73" s="261">
        <v>0</v>
      </c>
      <c r="E73" s="261">
        <v>0</v>
      </c>
    </row>
    <row r="74" s="22" customFormat="1" ht="21" customHeight="1" spans="1:5">
      <c r="A74" s="256" t="s">
        <v>1834</v>
      </c>
      <c r="B74" s="256" t="s">
        <v>1835</v>
      </c>
      <c r="C74" s="257">
        <f>SUM(C75:C76)</f>
        <v>2300</v>
      </c>
      <c r="D74" s="258">
        <f>SUM(D75:D76)</f>
        <v>0</v>
      </c>
      <c r="E74" s="258">
        <f>SUM(E75:E76)</f>
        <v>2300</v>
      </c>
    </row>
    <row r="75" s="22" customFormat="1" ht="21" customHeight="1" spans="1:5">
      <c r="A75" s="259" t="s">
        <v>1836</v>
      </c>
      <c r="B75" s="259" t="s">
        <v>1667</v>
      </c>
      <c r="C75" s="260">
        <f>D75+E75</f>
        <v>2300</v>
      </c>
      <c r="D75" s="261">
        <v>0</v>
      </c>
      <c r="E75" s="261">
        <v>2300</v>
      </c>
    </row>
    <row r="76" s="22" customFormat="1" ht="21" customHeight="1" spans="1:5">
      <c r="A76" s="259" t="s">
        <v>1837</v>
      </c>
      <c r="B76" s="259" t="s">
        <v>1838</v>
      </c>
      <c r="C76" s="260">
        <f>D76+E76</f>
        <v>0</v>
      </c>
      <c r="D76" s="261">
        <v>0</v>
      </c>
      <c r="E76" s="261">
        <v>0</v>
      </c>
    </row>
    <row r="77" s="22" customFormat="1" ht="21" customHeight="1" spans="1:5">
      <c r="A77" s="256" t="s">
        <v>1839</v>
      </c>
      <c r="B77" s="256" t="s">
        <v>1672</v>
      </c>
      <c r="C77" s="257">
        <f>SUM(C78:C81)</f>
        <v>186680.3875</v>
      </c>
      <c r="D77" s="258">
        <f>SUM(D78:D81)</f>
        <v>0</v>
      </c>
      <c r="E77" s="258">
        <f>SUM(E78:E81)</f>
        <v>186680.3875</v>
      </c>
    </row>
    <row r="78" s="22" customFormat="1" ht="21" customHeight="1" spans="1:5">
      <c r="A78" s="259" t="s">
        <v>1840</v>
      </c>
      <c r="B78" s="259" t="s">
        <v>1841</v>
      </c>
      <c r="C78" s="260">
        <f>D78+E78</f>
        <v>0</v>
      </c>
      <c r="D78" s="261">
        <v>0</v>
      </c>
      <c r="E78" s="261">
        <v>0</v>
      </c>
    </row>
    <row r="79" s="22" customFormat="1" ht="21" customHeight="1" spans="1:5">
      <c r="A79" s="259" t="s">
        <v>1842</v>
      </c>
      <c r="B79" s="259" t="s">
        <v>1843</v>
      </c>
      <c r="C79" s="260">
        <f>D79+E79</f>
        <v>0</v>
      </c>
      <c r="D79" s="261">
        <v>0</v>
      </c>
      <c r="E79" s="261">
        <v>0</v>
      </c>
    </row>
    <row r="80" s="22" customFormat="1" ht="32" customHeight="1" spans="1:5">
      <c r="A80" s="259" t="s">
        <v>1844</v>
      </c>
      <c r="B80" s="262" t="s">
        <v>1845</v>
      </c>
      <c r="C80" s="260">
        <f>D80+E80</f>
        <v>0</v>
      </c>
      <c r="D80" s="261">
        <v>0</v>
      </c>
      <c r="E80" s="261">
        <v>0</v>
      </c>
    </row>
    <row r="81" s="22" customFormat="1" ht="21" customHeight="1" spans="1:5">
      <c r="A81" s="259" t="s">
        <v>1846</v>
      </c>
      <c r="B81" s="259" t="s">
        <v>1679</v>
      </c>
      <c r="C81" s="260">
        <f>D81+E81</f>
        <v>186680.3875</v>
      </c>
      <c r="D81" s="261">
        <v>0</v>
      </c>
      <c r="E81" s="261">
        <v>186680.3875</v>
      </c>
    </row>
  </sheetData>
  <mergeCells count="1">
    <mergeCell ref="A2:E2"/>
  </mergeCells>
  <pageMargins left="1.14166666666667" right="0.751388888888889" top="0.409027777777778" bottom="0.802777777777778" header="0.5" footer="0.5"/>
  <pageSetup paperSize="9" firstPageNumber="104"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4"/>
  <sheetViews>
    <sheetView showZeros="0" workbookViewId="0">
      <pane xSplit="1" ySplit="10" topLeftCell="B19" activePane="bottomRight" state="frozen"/>
      <selection/>
      <selection pane="topRight"/>
      <selection pane="bottomLeft"/>
      <selection pane="bottomRight" activeCell="B5" sqref="B5:B6"/>
    </sheetView>
  </sheetViews>
  <sheetFormatPr defaultColWidth="9" defaultRowHeight="14.4"/>
  <cols>
    <col min="1" max="1" width="30.3796296296296" style="202" customWidth="1"/>
    <col min="2" max="2" width="10.1296296296296" style="209" customWidth="1"/>
    <col min="3" max="3" width="9.75" style="202" customWidth="1"/>
    <col min="4" max="4" width="12.25" style="202" customWidth="1"/>
    <col min="5" max="5" width="11.3796296296296" style="202" customWidth="1"/>
    <col min="6" max="6" width="9.62962962962963" style="202" customWidth="1"/>
    <col min="7" max="7" width="8.87962962962963" style="202" customWidth="1"/>
    <col min="8" max="8" width="9.37962962962963" style="202" customWidth="1"/>
    <col min="9" max="9" width="9.25" style="202"/>
    <col min="10" max="10" width="9.37962962962963" style="202" customWidth="1"/>
    <col min="11" max="11" width="10.3796296296296" style="202"/>
    <col min="12" max="12" width="9.66666666666667" style="209" customWidth="1"/>
    <col min="13" max="16384" width="9" style="202"/>
  </cols>
  <sheetData>
    <row r="1" s="202" customFormat="1" ht="18.95" customHeight="1" spans="1:12">
      <c r="A1" s="23" t="s">
        <v>1847</v>
      </c>
      <c r="B1" s="209"/>
      <c r="L1" s="209"/>
    </row>
    <row r="2" s="203" customFormat="1" ht="30.95" customHeight="1" spans="1:12">
      <c r="A2" s="210" t="s">
        <v>1848</v>
      </c>
      <c r="B2" s="210"/>
      <c r="C2" s="210"/>
      <c r="D2" s="210"/>
      <c r="E2" s="210"/>
      <c r="F2" s="210"/>
      <c r="G2" s="210"/>
      <c r="H2" s="210"/>
      <c r="I2" s="210"/>
      <c r="J2" s="210"/>
      <c r="K2" s="210"/>
      <c r="L2" s="231"/>
    </row>
    <row r="3" s="204" customFormat="1" ht="21.95" customHeight="1" spans="1:12">
      <c r="A3" s="206"/>
      <c r="B3" s="211"/>
      <c r="C3" s="211"/>
      <c r="D3" s="211"/>
      <c r="E3" s="212"/>
      <c r="F3" s="212"/>
      <c r="G3" s="211"/>
      <c r="H3" s="211"/>
      <c r="I3" s="212"/>
      <c r="J3" s="211"/>
      <c r="K3" s="76" t="s">
        <v>2</v>
      </c>
      <c r="L3" s="232"/>
    </row>
    <row r="4" s="205" customFormat="1" ht="21" customHeight="1" spans="1:12">
      <c r="A4" s="213" t="s">
        <v>3</v>
      </c>
      <c r="B4" s="213" t="s">
        <v>4</v>
      </c>
      <c r="C4" s="213"/>
      <c r="D4" s="213"/>
      <c r="E4" s="213"/>
      <c r="F4" s="213"/>
      <c r="G4" s="213"/>
      <c r="H4" s="213"/>
      <c r="I4" s="213"/>
      <c r="J4" s="213" t="s">
        <v>5</v>
      </c>
      <c r="K4" s="213"/>
      <c r="L4" s="233"/>
    </row>
    <row r="5" s="205" customFormat="1" ht="21.95" customHeight="1" spans="1:12">
      <c r="A5" s="213"/>
      <c r="B5" s="214" t="s">
        <v>1849</v>
      </c>
      <c r="C5" s="215" t="s">
        <v>1850</v>
      </c>
      <c r="D5" s="214" t="s">
        <v>1851</v>
      </c>
      <c r="E5" s="216" t="s">
        <v>1852</v>
      </c>
      <c r="F5" s="217" t="s">
        <v>1853</v>
      </c>
      <c r="G5" s="214" t="s">
        <v>1854</v>
      </c>
      <c r="H5" s="218" t="s">
        <v>11</v>
      </c>
      <c r="I5" s="218"/>
      <c r="J5" s="214" t="s">
        <v>12</v>
      </c>
      <c r="K5" s="218" t="s">
        <v>1855</v>
      </c>
      <c r="L5" s="234"/>
    </row>
    <row r="6" s="206" customFormat="1" ht="30.95" customHeight="1" spans="1:12">
      <c r="A6" s="213"/>
      <c r="B6" s="214"/>
      <c r="C6" s="215"/>
      <c r="D6" s="214"/>
      <c r="E6" s="216"/>
      <c r="F6" s="217"/>
      <c r="G6" s="214"/>
      <c r="H6" s="219" t="s">
        <v>14</v>
      </c>
      <c r="I6" s="217" t="s">
        <v>1856</v>
      </c>
      <c r="J6" s="214"/>
      <c r="K6" s="219" t="s">
        <v>14</v>
      </c>
      <c r="L6" s="235" t="s">
        <v>1856</v>
      </c>
    </row>
    <row r="7" s="207" customFormat="1" ht="24" hidden="1" customHeight="1" spans="1:12">
      <c r="A7" s="220" t="s">
        <v>1857</v>
      </c>
      <c r="B7" s="62"/>
      <c r="C7" s="62"/>
      <c r="D7" s="62"/>
      <c r="E7" s="221"/>
      <c r="F7" s="221"/>
      <c r="G7" s="62"/>
      <c r="H7" s="62">
        <v>0</v>
      </c>
      <c r="I7" s="221"/>
      <c r="J7" s="62"/>
      <c r="K7" s="214">
        <v>0</v>
      </c>
      <c r="L7" s="234"/>
    </row>
    <row r="8" s="207" customFormat="1" ht="24" hidden="1" customHeight="1" spans="1:12">
      <c r="A8" s="220" t="s">
        <v>1858</v>
      </c>
      <c r="B8" s="62"/>
      <c r="C8" s="62"/>
      <c r="D8" s="62"/>
      <c r="E8" s="221"/>
      <c r="F8" s="221"/>
      <c r="G8" s="62"/>
      <c r="H8" s="62">
        <v>0</v>
      </c>
      <c r="I8" s="221"/>
      <c r="J8" s="62"/>
      <c r="K8" s="214">
        <v>0</v>
      </c>
      <c r="L8" s="234"/>
    </row>
    <row r="9" s="207" customFormat="1" ht="24" hidden="1" customHeight="1" spans="1:12">
      <c r="A9" s="220" t="s">
        <v>1859</v>
      </c>
      <c r="B9" s="62"/>
      <c r="C9" s="62"/>
      <c r="D9" s="62"/>
      <c r="E9" s="221"/>
      <c r="F9" s="221"/>
      <c r="G9" s="62"/>
      <c r="H9" s="62">
        <v>0</v>
      </c>
      <c r="I9" s="221"/>
      <c r="J9" s="62"/>
      <c r="K9" s="214">
        <v>0</v>
      </c>
      <c r="L9" s="234"/>
    </row>
    <row r="10" s="207" customFormat="1" ht="24" hidden="1" customHeight="1" spans="1:12">
      <c r="A10" s="220" t="s">
        <v>1860</v>
      </c>
      <c r="B10" s="62"/>
      <c r="C10" s="62"/>
      <c r="D10" s="62"/>
      <c r="E10" s="221"/>
      <c r="F10" s="221"/>
      <c r="G10" s="62"/>
      <c r="H10" s="62">
        <v>0</v>
      </c>
      <c r="I10" s="221"/>
      <c r="J10" s="62"/>
      <c r="K10" s="214">
        <v>0</v>
      </c>
      <c r="L10" s="234"/>
    </row>
    <row r="11" s="207" customFormat="1" ht="24" customHeight="1" spans="1:12">
      <c r="A11" s="220" t="s">
        <v>1861</v>
      </c>
      <c r="B11" s="62"/>
      <c r="C11" s="62"/>
      <c r="D11" s="62"/>
      <c r="E11" s="221"/>
      <c r="F11" s="221"/>
      <c r="G11" s="62"/>
      <c r="H11" s="62"/>
      <c r="I11" s="221"/>
      <c r="J11" s="60"/>
      <c r="K11" s="222"/>
      <c r="L11" s="236"/>
    </row>
    <row r="12" s="207" customFormat="1" ht="24" customHeight="1" spans="1:12">
      <c r="A12" s="220" t="s">
        <v>1862</v>
      </c>
      <c r="B12" s="62"/>
      <c r="C12" s="62"/>
      <c r="D12" s="62"/>
      <c r="E12" s="221"/>
      <c r="F12" s="221"/>
      <c r="G12" s="62"/>
      <c r="H12" s="62"/>
      <c r="I12" s="221"/>
      <c r="J12" s="60"/>
      <c r="K12" s="222"/>
      <c r="L12" s="236"/>
    </row>
    <row r="13" s="207" customFormat="1" ht="24" customHeight="1" spans="1:12">
      <c r="A13" s="220" t="s">
        <v>1863</v>
      </c>
      <c r="B13" s="62"/>
      <c r="C13" s="62"/>
      <c r="D13" s="62"/>
      <c r="E13" s="221"/>
      <c r="F13" s="221"/>
      <c r="G13" s="62"/>
      <c r="H13" s="62"/>
      <c r="I13" s="221"/>
      <c r="J13" s="60"/>
      <c r="K13" s="222"/>
      <c r="L13" s="236"/>
    </row>
    <row r="14" s="207" customFormat="1" ht="24" customHeight="1" spans="1:12">
      <c r="A14" s="220" t="s">
        <v>1864</v>
      </c>
      <c r="B14" s="62"/>
      <c r="C14" s="62"/>
      <c r="D14" s="62"/>
      <c r="E14" s="221"/>
      <c r="F14" s="221"/>
      <c r="G14" s="62"/>
      <c r="H14" s="62"/>
      <c r="I14" s="221"/>
      <c r="J14" s="60"/>
      <c r="K14" s="222"/>
      <c r="L14" s="236"/>
    </row>
    <row r="15" s="207" customFormat="1" ht="24" customHeight="1" spans="1:12">
      <c r="A15" s="220" t="s">
        <v>1865</v>
      </c>
      <c r="B15" s="222">
        <v>14180</v>
      </c>
      <c r="C15" s="223">
        <v>27860.77</v>
      </c>
      <c r="D15" s="222">
        <v>43560</v>
      </c>
      <c r="E15" s="221">
        <f>D15/B15</f>
        <v>3.07193229901269</v>
      </c>
      <c r="F15" s="221">
        <f>D15/C15</f>
        <v>1.56348873344132</v>
      </c>
      <c r="G15" s="222">
        <v>8681</v>
      </c>
      <c r="H15" s="62">
        <f>D15-G15</f>
        <v>34879</v>
      </c>
      <c r="I15" s="221">
        <f>H15/G15</f>
        <v>4.01785508581961</v>
      </c>
      <c r="J15" s="222">
        <v>20000</v>
      </c>
      <c r="K15" s="222">
        <f>J15-D15</f>
        <v>-23560</v>
      </c>
      <c r="L15" s="237">
        <f>K15/D15</f>
        <v>-0.540863177226814</v>
      </c>
    </row>
    <row r="16" s="207" customFormat="1" ht="24" customHeight="1" spans="1:12">
      <c r="A16" s="220" t="s">
        <v>1866</v>
      </c>
      <c r="B16" s="222"/>
      <c r="C16" s="222"/>
      <c r="D16" s="222"/>
      <c r="E16" s="221"/>
      <c r="F16" s="221"/>
      <c r="G16" s="60">
        <v>0</v>
      </c>
      <c r="H16" s="62"/>
      <c r="I16" s="221"/>
      <c r="J16" s="222"/>
      <c r="K16" s="222"/>
      <c r="L16" s="236"/>
    </row>
    <row r="17" s="207" customFormat="1" ht="24" customHeight="1" spans="1:12">
      <c r="A17" s="220" t="s">
        <v>1867</v>
      </c>
      <c r="B17" s="222"/>
      <c r="C17" s="222"/>
      <c r="D17" s="222"/>
      <c r="E17" s="221"/>
      <c r="F17" s="221"/>
      <c r="G17" s="60">
        <v>0</v>
      </c>
      <c r="H17" s="62"/>
      <c r="I17" s="221"/>
      <c r="J17" s="222"/>
      <c r="K17" s="222"/>
      <c r="L17" s="236"/>
    </row>
    <row r="18" s="207" customFormat="1" ht="24" customHeight="1" spans="1:12">
      <c r="A18" s="220" t="s">
        <v>1868</v>
      </c>
      <c r="B18" s="222"/>
      <c r="C18" s="222"/>
      <c r="D18" s="222"/>
      <c r="E18" s="221"/>
      <c r="F18" s="221"/>
      <c r="G18" s="222">
        <v>0</v>
      </c>
      <c r="H18" s="62"/>
      <c r="I18" s="221"/>
      <c r="J18" s="222"/>
      <c r="K18" s="222"/>
      <c r="L18" s="236"/>
    </row>
    <row r="19" s="207" customFormat="1" ht="24" customHeight="1" spans="1:12">
      <c r="A19" s="220" t="s">
        <v>1869</v>
      </c>
      <c r="B19" s="222">
        <v>250</v>
      </c>
      <c r="C19" s="223">
        <v>300</v>
      </c>
      <c r="D19" s="222">
        <v>489</v>
      </c>
      <c r="E19" s="221">
        <f>D19/B19</f>
        <v>1.956</v>
      </c>
      <c r="F19" s="221">
        <f>D19/C19</f>
        <v>1.63</v>
      </c>
      <c r="G19" s="60">
        <v>1349</v>
      </c>
      <c r="H19" s="62">
        <f t="shared" ref="H19:H23" si="0">D19-G19</f>
        <v>-860</v>
      </c>
      <c r="I19" s="221">
        <f t="shared" ref="I19:I23" si="1">H19/G19</f>
        <v>-0.637509266123054</v>
      </c>
      <c r="J19" s="222">
        <v>488</v>
      </c>
      <c r="K19" s="222">
        <f t="shared" ref="K19:K23" si="2">J19-D19</f>
        <v>-1</v>
      </c>
      <c r="L19" s="237">
        <f>K19/D19</f>
        <v>-0.00204498977505112</v>
      </c>
    </row>
    <row r="20" s="207" customFormat="1" ht="24" customHeight="1" spans="1:12">
      <c r="A20" s="220" t="s">
        <v>1870</v>
      </c>
      <c r="B20" s="222"/>
      <c r="C20" s="222"/>
      <c r="D20" s="222"/>
      <c r="E20" s="221"/>
      <c r="F20" s="221"/>
      <c r="G20" s="60">
        <v>0</v>
      </c>
      <c r="H20" s="62"/>
      <c r="I20" s="221"/>
      <c r="J20" s="222"/>
      <c r="K20" s="222"/>
      <c r="L20" s="236"/>
    </row>
    <row r="21" s="207" customFormat="1" ht="24" customHeight="1" spans="1:12">
      <c r="A21" s="220" t="s">
        <v>1871</v>
      </c>
      <c r="B21" s="222"/>
      <c r="C21" s="222"/>
      <c r="D21" s="222"/>
      <c r="E21" s="221"/>
      <c r="F21" s="221"/>
      <c r="G21" s="60"/>
      <c r="H21" s="62">
        <f t="shared" si="0"/>
        <v>0</v>
      </c>
      <c r="I21" s="221"/>
      <c r="J21" s="222"/>
      <c r="K21" s="222"/>
      <c r="L21" s="236"/>
    </row>
    <row r="22" s="207" customFormat="1" ht="24" customHeight="1" spans="1:12">
      <c r="A22" s="220" t="s">
        <v>1872</v>
      </c>
      <c r="B22" s="222"/>
      <c r="C22" s="222"/>
      <c r="D22" s="222"/>
      <c r="E22" s="221"/>
      <c r="F22" s="221"/>
      <c r="G22" s="60"/>
      <c r="H22" s="62">
        <f t="shared" si="0"/>
        <v>0</v>
      </c>
      <c r="I22" s="221"/>
      <c r="J22" s="222"/>
      <c r="K22" s="222"/>
      <c r="L22" s="236"/>
    </row>
    <row r="23" s="207" customFormat="1" ht="24" customHeight="1" spans="1:12">
      <c r="A23" s="224" t="s">
        <v>1873</v>
      </c>
      <c r="B23" s="222">
        <v>500</v>
      </c>
      <c r="C23" s="225">
        <v>500</v>
      </c>
      <c r="D23" s="222">
        <v>581</v>
      </c>
      <c r="E23" s="221"/>
      <c r="F23" s="221"/>
      <c r="G23" s="60">
        <v>513</v>
      </c>
      <c r="H23" s="62">
        <f t="shared" si="0"/>
        <v>68</v>
      </c>
      <c r="I23" s="221">
        <f t="shared" si="1"/>
        <v>0.132553606237817</v>
      </c>
      <c r="J23" s="222">
        <v>580</v>
      </c>
      <c r="K23" s="222">
        <f t="shared" si="2"/>
        <v>-1</v>
      </c>
      <c r="L23" s="237">
        <f t="shared" ref="L23:L27" si="3">K23/D23</f>
        <v>-0.00172117039586919</v>
      </c>
    </row>
    <row r="24" s="207" customFormat="1" ht="24" customHeight="1" spans="1:12">
      <c r="A24" s="220" t="s">
        <v>1874</v>
      </c>
      <c r="B24" s="60"/>
      <c r="C24" s="60"/>
      <c r="D24" s="60"/>
      <c r="E24" s="221"/>
      <c r="F24" s="221"/>
      <c r="G24" s="60">
        <v>0</v>
      </c>
      <c r="H24" s="62"/>
      <c r="I24" s="221"/>
      <c r="J24" s="60"/>
      <c r="K24" s="222"/>
      <c r="L24" s="236"/>
    </row>
    <row r="25" s="207" customFormat="1" ht="24" customHeight="1" spans="1:12">
      <c r="A25" s="220" t="s">
        <v>1875</v>
      </c>
      <c r="B25" s="60"/>
      <c r="C25" s="60"/>
      <c r="D25" s="60">
        <v>76</v>
      </c>
      <c r="E25" s="221"/>
      <c r="F25" s="221"/>
      <c r="G25" s="60">
        <v>51</v>
      </c>
      <c r="H25" s="62">
        <f t="shared" ref="H25:H30" si="4">D25-G25</f>
        <v>25</v>
      </c>
      <c r="I25" s="221">
        <f t="shared" ref="I25:I30" si="5">H25/G25</f>
        <v>0.490196078431373</v>
      </c>
      <c r="J25" s="60">
        <v>80</v>
      </c>
      <c r="K25" s="222">
        <f>J25-D25</f>
        <v>4</v>
      </c>
      <c r="L25" s="237">
        <f>K25/D25</f>
        <v>0.0526315789473684</v>
      </c>
    </row>
    <row r="26" s="207" customFormat="1" ht="24" customHeight="1" spans="1:12">
      <c r="A26" s="220" t="s">
        <v>1876</v>
      </c>
      <c r="B26" s="60"/>
      <c r="C26" s="60"/>
      <c r="D26" s="60">
        <v>265</v>
      </c>
      <c r="E26" s="221"/>
      <c r="F26" s="221"/>
      <c r="G26" s="60"/>
      <c r="H26" s="62"/>
      <c r="I26" s="221"/>
      <c r="J26" s="60"/>
      <c r="K26" s="222"/>
      <c r="L26" s="236"/>
    </row>
    <row r="27" s="208" customFormat="1" ht="24" customHeight="1" spans="1:12">
      <c r="A27" s="226" t="s">
        <v>1877</v>
      </c>
      <c r="B27" s="227">
        <f t="shared" ref="B27:H27" si="6">SUM(B11:B25)</f>
        <v>14930</v>
      </c>
      <c r="C27" s="227">
        <f t="shared" si="6"/>
        <v>28660.77</v>
      </c>
      <c r="D27" s="227">
        <f>SUM(D11:D26)</f>
        <v>44971</v>
      </c>
      <c r="E27" s="227">
        <f t="shared" si="6"/>
        <v>5.02793229901269</v>
      </c>
      <c r="F27" s="227">
        <f t="shared" si="6"/>
        <v>3.19348873344132</v>
      </c>
      <c r="G27" s="227">
        <f t="shared" si="6"/>
        <v>10594</v>
      </c>
      <c r="H27" s="227">
        <f t="shared" si="6"/>
        <v>34112</v>
      </c>
      <c r="I27" s="238">
        <f t="shared" si="5"/>
        <v>3.21993581272418</v>
      </c>
      <c r="J27" s="227">
        <f>SUM(J11:J25)</f>
        <v>21148</v>
      </c>
      <c r="K27" s="239">
        <f>J27-D27</f>
        <v>-23823</v>
      </c>
      <c r="L27" s="240">
        <f t="shared" si="3"/>
        <v>-0.529741388895066</v>
      </c>
    </row>
    <row r="28" s="208" customFormat="1" ht="24" customHeight="1" spans="1:12">
      <c r="A28" s="228" t="s">
        <v>1878</v>
      </c>
      <c r="B28" s="227">
        <f t="shared" ref="B28:G28" si="7">SUM(B29,B32:B34)</f>
        <v>1908</v>
      </c>
      <c r="C28" s="227">
        <f t="shared" si="7"/>
        <v>25730.72</v>
      </c>
      <c r="D28" s="227">
        <f t="shared" si="7"/>
        <v>26260</v>
      </c>
      <c r="E28" s="227">
        <f t="shared" si="7"/>
        <v>0</v>
      </c>
      <c r="F28" s="227">
        <f t="shared" si="7"/>
        <v>0</v>
      </c>
      <c r="G28" s="227">
        <f t="shared" si="7"/>
        <v>11158</v>
      </c>
      <c r="H28" s="229">
        <f t="shared" si="4"/>
        <v>15102</v>
      </c>
      <c r="I28" s="238">
        <f t="shared" si="5"/>
        <v>1.353468363506</v>
      </c>
      <c r="J28" s="227">
        <f>SUM(J29,J32:J34)</f>
        <v>13574</v>
      </c>
      <c r="K28" s="239"/>
      <c r="L28" s="234">
        <f t="shared" ref="L25:L30" si="8">K28/J28</f>
        <v>0</v>
      </c>
    </row>
    <row r="29" s="207" customFormat="1" ht="24" customHeight="1" spans="1:12">
      <c r="A29" s="224" t="s">
        <v>1879</v>
      </c>
      <c r="B29" s="60">
        <f t="shared" ref="B29:G29" si="9">B30+B31</f>
        <v>264</v>
      </c>
      <c r="C29" s="60">
        <f t="shared" si="9"/>
        <v>11593.72</v>
      </c>
      <c r="D29" s="60">
        <f t="shared" si="9"/>
        <v>12123</v>
      </c>
      <c r="E29" s="60"/>
      <c r="F29" s="60"/>
      <c r="G29" s="60">
        <f t="shared" si="9"/>
        <v>3448</v>
      </c>
      <c r="H29" s="62">
        <f t="shared" si="4"/>
        <v>8675</v>
      </c>
      <c r="I29" s="221">
        <f t="shared" si="5"/>
        <v>2.51595127610209</v>
      </c>
      <c r="J29" s="60">
        <f>SUM(J30:J31)</f>
        <v>572</v>
      </c>
      <c r="K29" s="239"/>
      <c r="L29" s="234">
        <f t="shared" si="8"/>
        <v>0</v>
      </c>
    </row>
    <row r="30" s="207" customFormat="1" ht="24" customHeight="1" spans="1:12">
      <c r="A30" s="224" t="s">
        <v>1880</v>
      </c>
      <c r="B30" s="60">
        <v>264</v>
      </c>
      <c r="C30" s="60">
        <v>11593.72</v>
      </c>
      <c r="D30" s="60">
        <v>12123</v>
      </c>
      <c r="E30" s="221"/>
      <c r="F30" s="221"/>
      <c r="G30" s="60">
        <v>3448</v>
      </c>
      <c r="H30" s="62">
        <f t="shared" si="4"/>
        <v>8675</v>
      </c>
      <c r="I30" s="221">
        <f t="shared" si="5"/>
        <v>2.51595127610209</v>
      </c>
      <c r="J30" s="241">
        <v>572</v>
      </c>
      <c r="K30" s="239"/>
      <c r="L30" s="234">
        <f t="shared" si="8"/>
        <v>0</v>
      </c>
    </row>
    <row r="31" s="207" customFormat="1" ht="24" customHeight="1" spans="1:12">
      <c r="A31" s="224" t="s">
        <v>1881</v>
      </c>
      <c r="B31" s="60"/>
      <c r="C31" s="60"/>
      <c r="D31" s="60"/>
      <c r="E31" s="221"/>
      <c r="F31" s="221"/>
      <c r="G31" s="60"/>
      <c r="H31" s="62"/>
      <c r="I31" s="221"/>
      <c r="J31" s="60"/>
      <c r="K31" s="239"/>
      <c r="L31" s="234"/>
    </row>
    <row r="32" s="207" customFormat="1" ht="24" customHeight="1" spans="1:12">
      <c r="A32" s="224" t="s">
        <v>1882</v>
      </c>
      <c r="B32" s="60">
        <v>1644</v>
      </c>
      <c r="C32" s="60">
        <v>837</v>
      </c>
      <c r="D32" s="60">
        <v>837</v>
      </c>
      <c r="E32" s="221"/>
      <c r="F32" s="221"/>
      <c r="G32" s="60">
        <v>3710</v>
      </c>
      <c r="H32" s="62">
        <f t="shared" ref="H32:H37" si="10">D32-G32</f>
        <v>-2873</v>
      </c>
      <c r="I32" s="221">
        <f t="shared" ref="I32:I37" si="11">H32/G32</f>
        <v>-0.774393530997305</v>
      </c>
      <c r="J32" s="60">
        <v>13002</v>
      </c>
      <c r="K32" s="239">
        <f>J32-D32</f>
        <v>12165</v>
      </c>
      <c r="L32" s="240"/>
    </row>
    <row r="33" s="207" customFormat="1" ht="24" customHeight="1" spans="1:12">
      <c r="A33" s="224" t="s">
        <v>1883</v>
      </c>
      <c r="B33" s="60"/>
      <c r="C33" s="60"/>
      <c r="D33" s="60"/>
      <c r="E33" s="221"/>
      <c r="F33" s="221"/>
      <c r="G33" s="60"/>
      <c r="H33" s="62"/>
      <c r="I33" s="221"/>
      <c r="J33" s="60"/>
      <c r="K33" s="239"/>
      <c r="L33" s="234"/>
    </row>
    <row r="34" s="207" customFormat="1" ht="24" customHeight="1" spans="1:12">
      <c r="A34" s="224" t="s">
        <v>1884</v>
      </c>
      <c r="B34" s="60"/>
      <c r="C34" s="60">
        <v>13300</v>
      </c>
      <c r="D34" s="60">
        <v>13300</v>
      </c>
      <c r="E34" s="221"/>
      <c r="F34" s="221"/>
      <c r="G34" s="60">
        <v>4000</v>
      </c>
      <c r="H34" s="62">
        <f t="shared" si="10"/>
        <v>9300</v>
      </c>
      <c r="I34" s="221">
        <f t="shared" si="11"/>
        <v>2.325</v>
      </c>
      <c r="J34" s="60"/>
      <c r="K34" s="239"/>
      <c r="L34" s="234"/>
    </row>
    <row r="35" s="207" customFormat="1" ht="24" customHeight="1" spans="1:12">
      <c r="A35" s="224" t="s">
        <v>1885</v>
      </c>
      <c r="B35" s="60"/>
      <c r="C35" s="60"/>
      <c r="D35" s="60"/>
      <c r="E35" s="221"/>
      <c r="F35" s="221"/>
      <c r="G35" s="60"/>
      <c r="H35" s="62"/>
      <c r="I35" s="221"/>
      <c r="J35" s="60"/>
      <c r="K35" s="239"/>
      <c r="L35" s="234"/>
    </row>
    <row r="36" s="207" customFormat="1" ht="24" customHeight="1" spans="1:12">
      <c r="A36" s="224" t="s">
        <v>1886</v>
      </c>
      <c r="B36" s="60"/>
      <c r="C36" s="60"/>
      <c r="D36" s="60"/>
      <c r="E36" s="221"/>
      <c r="F36" s="221"/>
      <c r="G36" s="60"/>
      <c r="H36" s="62"/>
      <c r="I36" s="221"/>
      <c r="J36" s="60"/>
      <c r="K36" s="239"/>
      <c r="L36" s="234"/>
    </row>
    <row r="37" s="208" customFormat="1" ht="24" customHeight="1" spans="1:12">
      <c r="A37" s="230" t="s">
        <v>112</v>
      </c>
      <c r="B37" s="227">
        <f t="shared" ref="B37:G37" si="12">SUM(B27:B28)</f>
        <v>16838</v>
      </c>
      <c r="C37" s="227">
        <f t="shared" si="12"/>
        <v>54391.49</v>
      </c>
      <c r="D37" s="227">
        <f t="shared" si="12"/>
        <v>71231</v>
      </c>
      <c r="E37" s="227">
        <f t="shared" si="12"/>
        <v>5.02793229901269</v>
      </c>
      <c r="F37" s="227">
        <f t="shared" si="12"/>
        <v>3.19348873344132</v>
      </c>
      <c r="G37" s="227">
        <f t="shared" si="12"/>
        <v>21752</v>
      </c>
      <c r="H37" s="229">
        <f t="shared" si="10"/>
        <v>49479</v>
      </c>
      <c r="I37" s="238">
        <f t="shared" si="11"/>
        <v>2.27468738506804</v>
      </c>
      <c r="J37" s="227">
        <f>SUM(J27:J28)</f>
        <v>34722</v>
      </c>
      <c r="K37" s="239">
        <f>J37-D37</f>
        <v>-36509</v>
      </c>
      <c r="L37" s="240">
        <f>K37/D37</f>
        <v>-0.512543695862756</v>
      </c>
    </row>
    <row r="38" s="204" customFormat="1" ht="15.6" spans="1:12">
      <c r="A38" s="206"/>
      <c r="B38" s="211"/>
      <c r="C38" s="211"/>
      <c r="D38" s="211"/>
      <c r="E38" s="212"/>
      <c r="F38" s="212"/>
      <c r="G38" s="211"/>
      <c r="H38" s="211"/>
      <c r="I38" s="212"/>
      <c r="J38" s="211"/>
      <c r="K38" s="211"/>
      <c r="L38" s="232"/>
    </row>
    <row r="39" s="22" customFormat="1" ht="15.6" spans="12:12">
      <c r="L39" s="242"/>
    </row>
    <row r="40" s="22" customFormat="1" ht="15.6" spans="12:12">
      <c r="L40" s="242"/>
    </row>
    <row r="41" s="22" customFormat="1" ht="15.6" spans="12:12">
      <c r="L41" s="242"/>
    </row>
    <row r="42" s="22" customFormat="1" ht="15.6" spans="12:12">
      <c r="L42" s="242"/>
    </row>
    <row r="43" s="22" customFormat="1" ht="15.6" spans="12:12">
      <c r="L43" s="242"/>
    </row>
    <row r="44" s="22" customFormat="1" ht="15.6" spans="12:12">
      <c r="L44" s="242"/>
    </row>
    <row r="45" s="22" customFormat="1" ht="15.6" spans="12:12">
      <c r="L45" s="242"/>
    </row>
    <row r="46" s="22" customFormat="1" ht="15.6" spans="12:12">
      <c r="L46" s="242"/>
    </row>
    <row r="47" s="22" customFormat="1" ht="15.6" spans="12:12">
      <c r="L47" s="242"/>
    </row>
    <row r="48" s="22" customFormat="1" ht="15.6" spans="12:12">
      <c r="L48" s="242"/>
    </row>
    <row r="49" s="22" customFormat="1" ht="15.6" spans="12:12">
      <c r="L49" s="242"/>
    </row>
    <row r="50" s="22" customFormat="1" ht="15.6" spans="12:12">
      <c r="L50" s="242"/>
    </row>
    <row r="51" s="22" customFormat="1" ht="15.6" spans="12:12">
      <c r="L51" s="242"/>
    </row>
    <row r="52" s="22" customFormat="1" ht="15.6" spans="12:12">
      <c r="L52" s="242"/>
    </row>
    <row r="53" s="22" customFormat="1" ht="15.6" spans="12:12">
      <c r="L53" s="242"/>
    </row>
    <row r="54" s="22" customFormat="1" ht="15.6" spans="12:12">
      <c r="L54" s="242"/>
    </row>
    <row r="55" s="22" customFormat="1" ht="15.6" spans="12:12">
      <c r="L55" s="242"/>
    </row>
    <row r="56" s="22" customFormat="1" ht="15.6" spans="12:12">
      <c r="L56" s="242"/>
    </row>
    <row r="57" s="22" customFormat="1" ht="15.6" spans="12:12">
      <c r="L57" s="242"/>
    </row>
    <row r="58" s="22" customFormat="1" ht="15.6" spans="12:12">
      <c r="L58" s="242"/>
    </row>
    <row r="59" s="22" customFormat="1" ht="15.6" spans="12:12">
      <c r="L59" s="242"/>
    </row>
    <row r="60" s="22" customFormat="1" ht="15.6" spans="12:12">
      <c r="L60" s="242"/>
    </row>
    <row r="61" s="22" customFormat="1" ht="15.6" spans="12:12">
      <c r="L61" s="242"/>
    </row>
    <row r="62" s="22" customFormat="1" ht="15.6" spans="12:12">
      <c r="L62" s="242"/>
    </row>
    <row r="63" s="22" customFormat="1" ht="15.6" spans="12:12">
      <c r="L63" s="242"/>
    </row>
    <row r="64" s="22" customFormat="1" ht="15.6" spans="12:12">
      <c r="L64" s="242"/>
    </row>
    <row r="65" s="22" customFormat="1" ht="15.6" spans="12:12">
      <c r="L65" s="242"/>
    </row>
    <row r="66" s="22" customFormat="1" ht="15.6" spans="12:12">
      <c r="L66" s="242"/>
    </row>
    <row r="67" s="22" customFormat="1" ht="15.6" spans="12:12">
      <c r="L67" s="242"/>
    </row>
    <row r="68" s="22" customFormat="1" ht="15.6" spans="12:12">
      <c r="L68" s="242"/>
    </row>
    <row r="69" s="22" customFormat="1" ht="15.6" spans="12:12">
      <c r="L69" s="242"/>
    </row>
    <row r="70" s="22" customFormat="1" ht="15.6" spans="12:12">
      <c r="L70" s="242"/>
    </row>
    <row r="71" s="22" customFormat="1" ht="15.6" spans="12:12">
      <c r="L71" s="242"/>
    </row>
    <row r="72" s="22" customFormat="1" ht="15.6" spans="12:12">
      <c r="L72" s="242"/>
    </row>
    <row r="73" s="22" customFormat="1" ht="15.6" spans="12:12">
      <c r="L73" s="242"/>
    </row>
    <row r="74" s="22" customFormat="1" ht="15.6" spans="12:12">
      <c r="L74" s="242"/>
    </row>
    <row r="75" s="22" customFormat="1" ht="15.6" spans="12:12">
      <c r="L75" s="242"/>
    </row>
    <row r="76" s="22" customFormat="1" ht="15.6" spans="12:12">
      <c r="L76" s="242"/>
    </row>
    <row r="77" s="22" customFormat="1" ht="15.6" spans="12:12">
      <c r="L77" s="242"/>
    </row>
    <row r="78" s="22" customFormat="1" ht="15.6" spans="12:12">
      <c r="L78" s="242"/>
    </row>
    <row r="79" s="22" customFormat="1" ht="15.6" spans="12:12">
      <c r="L79" s="242"/>
    </row>
    <row r="80" s="22" customFormat="1" ht="15.6" spans="12:12">
      <c r="L80" s="242"/>
    </row>
    <row r="81" s="22" customFormat="1" ht="15.6" spans="12:12">
      <c r="L81" s="242"/>
    </row>
    <row r="82" s="22" customFormat="1" ht="15.6" spans="12:12">
      <c r="L82" s="242"/>
    </row>
    <row r="83" s="22" customFormat="1" ht="15.6" spans="12:12">
      <c r="L83" s="242"/>
    </row>
    <row r="84" s="22" customFormat="1" ht="15.6" spans="12:12">
      <c r="L84" s="242"/>
    </row>
    <row r="85" s="22" customFormat="1" ht="15.6" spans="12:12">
      <c r="L85" s="242"/>
    </row>
    <row r="86" s="22" customFormat="1" ht="15.6" spans="12:12">
      <c r="L86" s="242"/>
    </row>
    <row r="87" s="22" customFormat="1" ht="15.6" spans="12:12">
      <c r="L87" s="242"/>
    </row>
    <row r="88" s="22" customFormat="1" ht="15.6" spans="12:12">
      <c r="L88" s="242"/>
    </row>
    <row r="89" s="22" customFormat="1" ht="15.6" spans="12:12">
      <c r="L89" s="242"/>
    </row>
    <row r="90" s="22" customFormat="1" ht="15.6" spans="12:12">
      <c r="L90" s="242"/>
    </row>
    <row r="91" s="22" customFormat="1" ht="15.6" spans="12:12">
      <c r="L91" s="242"/>
    </row>
    <row r="92" s="22" customFormat="1" ht="15.6" spans="12:12">
      <c r="L92" s="242"/>
    </row>
    <row r="93" s="22" customFormat="1" ht="15.6" spans="12:12">
      <c r="L93" s="242"/>
    </row>
    <row r="94" s="22" customFormat="1" ht="15.6" spans="12:12">
      <c r="L94" s="242"/>
    </row>
    <row r="95" s="22" customFormat="1" ht="15.6" spans="12:12">
      <c r="L95" s="242"/>
    </row>
    <row r="96" s="22" customFormat="1" ht="15.6" spans="12:12">
      <c r="L96" s="242"/>
    </row>
    <row r="97" s="22" customFormat="1" ht="15.6" spans="12:12">
      <c r="L97" s="242"/>
    </row>
    <row r="98" s="22" customFormat="1" ht="15.6" spans="12:12">
      <c r="L98" s="242"/>
    </row>
    <row r="99" s="22" customFormat="1" ht="15.6" spans="12:12">
      <c r="L99" s="242"/>
    </row>
    <row r="100" s="22" customFormat="1" ht="15.6" spans="12:12">
      <c r="L100" s="242"/>
    </row>
    <row r="101" s="22" customFormat="1" ht="15.6" spans="12:12">
      <c r="L101" s="242"/>
    </row>
    <row r="102" s="22" customFormat="1" ht="15.6" spans="12:12">
      <c r="L102" s="242"/>
    </row>
    <row r="103" s="22" customFormat="1" ht="15.6" spans="12:12">
      <c r="L103" s="242"/>
    </row>
    <row r="104" s="22" customFormat="1" ht="15.6" spans="12:12">
      <c r="L104" s="242"/>
    </row>
    <row r="105" s="22" customFormat="1" ht="15.6" spans="12:12">
      <c r="L105" s="242"/>
    </row>
    <row r="106" s="22" customFormat="1" ht="15.6" spans="12:12">
      <c r="L106" s="242"/>
    </row>
    <row r="107" s="22" customFormat="1" ht="15.6" spans="12:12">
      <c r="L107" s="242"/>
    </row>
    <row r="108" s="22" customFormat="1" ht="15.6" spans="12:12">
      <c r="L108" s="242"/>
    </row>
    <row r="109" s="22" customFormat="1" ht="15.6" spans="12:12">
      <c r="L109" s="242"/>
    </row>
    <row r="110" s="22" customFormat="1" ht="15.6" spans="12:12">
      <c r="L110" s="242"/>
    </row>
    <row r="111" s="22" customFormat="1" ht="15.6" spans="12:12">
      <c r="L111" s="242"/>
    </row>
    <row r="112" s="22" customFormat="1" ht="15.6" spans="12:12">
      <c r="L112" s="242"/>
    </row>
    <row r="113" s="22" customFormat="1" ht="15.6" spans="12:12">
      <c r="L113" s="242"/>
    </row>
    <row r="114" s="22" customFormat="1" ht="15.6" spans="12:12">
      <c r="L114" s="242"/>
    </row>
    <row r="115" s="22" customFormat="1" ht="15.6" spans="12:12">
      <c r="L115" s="242"/>
    </row>
    <row r="116" s="22" customFormat="1" ht="15.6" spans="12:12">
      <c r="L116" s="242"/>
    </row>
    <row r="117" s="22" customFormat="1" ht="15.6" spans="12:12">
      <c r="L117" s="242"/>
    </row>
    <row r="118" s="22" customFormat="1" ht="15.6" spans="12:12">
      <c r="L118" s="242"/>
    </row>
    <row r="119" s="22" customFormat="1" ht="15.6" spans="12:12">
      <c r="L119" s="242"/>
    </row>
    <row r="120" s="22" customFormat="1" ht="15.6" spans="12:12">
      <c r="L120" s="242"/>
    </row>
    <row r="121" s="22" customFormat="1" ht="15.6" spans="12:12">
      <c r="L121" s="242"/>
    </row>
    <row r="122" s="22" customFormat="1" ht="15.6" spans="12:12">
      <c r="L122" s="242"/>
    </row>
    <row r="123" s="22" customFormat="1" ht="15.6" spans="12:12">
      <c r="L123" s="242"/>
    </row>
    <row r="124" s="22" customFormat="1" ht="15.6" spans="12:12">
      <c r="L124" s="242"/>
    </row>
    <row r="125" s="22" customFormat="1" ht="15.6" spans="12:12">
      <c r="L125" s="242"/>
    </row>
    <row r="126" s="22" customFormat="1" ht="15.6" spans="12:12">
      <c r="L126" s="242"/>
    </row>
    <row r="127" s="22" customFormat="1" ht="15.6" spans="12:12">
      <c r="L127" s="242"/>
    </row>
    <row r="128" s="22" customFormat="1" ht="15.6" spans="12:12">
      <c r="L128" s="242"/>
    </row>
    <row r="129" s="22" customFormat="1" ht="15.6" spans="12:12">
      <c r="L129" s="242"/>
    </row>
    <row r="130" s="22" customFormat="1" ht="15.6" spans="12:12">
      <c r="L130" s="242"/>
    </row>
    <row r="131" s="22" customFormat="1" ht="15.6" spans="12:12">
      <c r="L131" s="242"/>
    </row>
    <row r="132" s="22" customFormat="1" ht="15.6" spans="12:12">
      <c r="L132" s="242"/>
    </row>
    <row r="133" s="22" customFormat="1" ht="15.6" spans="12:12">
      <c r="L133" s="242"/>
    </row>
    <row r="134" s="22" customFormat="1" ht="15.6" spans="12:12">
      <c r="L134" s="242"/>
    </row>
    <row r="135" s="22" customFormat="1" ht="15.6" spans="12:12">
      <c r="L135" s="242"/>
    </row>
    <row r="136" s="22" customFormat="1" ht="15.6" spans="12:12">
      <c r="L136" s="242"/>
    </row>
    <row r="137" s="22" customFormat="1" ht="15.6" spans="12:12">
      <c r="L137" s="242"/>
    </row>
    <row r="138" s="22" customFormat="1" ht="15.6" spans="12:12">
      <c r="L138" s="242"/>
    </row>
    <row r="139" s="22" customFormat="1" ht="15.6" spans="12:12">
      <c r="L139" s="242"/>
    </row>
    <row r="140" s="22" customFormat="1" ht="15.6" spans="12:12">
      <c r="L140" s="242"/>
    </row>
    <row r="141" s="22" customFormat="1" ht="15.6" spans="12:12">
      <c r="L141" s="242"/>
    </row>
    <row r="142" s="22" customFormat="1" ht="15.6" spans="12:12">
      <c r="L142" s="242"/>
    </row>
    <row r="143" s="22" customFormat="1" ht="15.6" spans="12:12">
      <c r="L143" s="242"/>
    </row>
    <row r="144" s="22" customFormat="1" ht="15.6" spans="12:12">
      <c r="L144" s="242"/>
    </row>
    <row r="145" s="22" customFormat="1" ht="15.6" spans="12:12">
      <c r="L145" s="242"/>
    </row>
    <row r="146" s="22" customFormat="1" ht="15.6" spans="12:12">
      <c r="L146" s="242"/>
    </row>
    <row r="147" s="22" customFormat="1" ht="15.6" spans="12:12">
      <c r="L147" s="242"/>
    </row>
    <row r="148" s="22" customFormat="1" ht="15.6" spans="12:12">
      <c r="L148" s="242"/>
    </row>
    <row r="149" s="22" customFormat="1" ht="15.6" spans="12:12">
      <c r="L149" s="242"/>
    </row>
    <row r="150" s="22" customFormat="1" ht="15.6" spans="12:12">
      <c r="L150" s="242"/>
    </row>
    <row r="151" s="22" customFormat="1" ht="15.6" spans="12:12">
      <c r="L151" s="242"/>
    </row>
    <row r="152" s="22" customFormat="1" ht="15.6" spans="12:12">
      <c r="L152" s="242"/>
    </row>
    <row r="153" s="22" customFormat="1" ht="15.6" spans="12:12">
      <c r="L153" s="242"/>
    </row>
    <row r="154" s="22" customFormat="1" ht="15.6" spans="12:12">
      <c r="L154" s="242"/>
    </row>
    <row r="155" s="22" customFormat="1" ht="15.6" spans="12:12">
      <c r="L155" s="242"/>
    </row>
    <row r="156" s="22" customFormat="1" ht="15.6" spans="12:12">
      <c r="L156" s="242"/>
    </row>
    <row r="157" s="22" customFormat="1" ht="15.6" spans="12:12">
      <c r="L157" s="242"/>
    </row>
    <row r="158" s="22" customFormat="1" ht="15.6" spans="12:12">
      <c r="L158" s="242"/>
    </row>
    <row r="159" s="22" customFormat="1" ht="15.6" spans="12:12">
      <c r="L159" s="242"/>
    </row>
    <row r="160" s="22" customFormat="1" ht="15.6" spans="12:12">
      <c r="L160" s="242"/>
    </row>
    <row r="161" s="22" customFormat="1" ht="15.6" spans="12:12">
      <c r="L161" s="242"/>
    </row>
    <row r="162" s="22" customFormat="1" ht="15.6" spans="12:12">
      <c r="L162" s="242"/>
    </row>
    <row r="163" s="22" customFormat="1" ht="15.6" spans="12:12">
      <c r="L163" s="242"/>
    </row>
    <row r="164" s="22" customFormat="1" ht="15.6" spans="12:12">
      <c r="L164" s="242"/>
    </row>
    <row r="165" s="22" customFormat="1" ht="15.6" spans="12:12">
      <c r="L165" s="242"/>
    </row>
    <row r="166" s="22" customFormat="1" ht="15.6" spans="12:12">
      <c r="L166" s="242"/>
    </row>
    <row r="167" s="22" customFormat="1" ht="15.6" spans="12:12">
      <c r="L167" s="242"/>
    </row>
    <row r="168" s="22" customFormat="1" ht="15.6" spans="12:12">
      <c r="L168" s="242"/>
    </row>
    <row r="169" s="22" customFormat="1" ht="15.6" spans="12:12">
      <c r="L169" s="242"/>
    </row>
    <row r="170" s="22" customFormat="1" ht="15.6" spans="12:12">
      <c r="L170" s="242"/>
    </row>
    <row r="171" s="22" customFormat="1" ht="15.6" spans="12:12">
      <c r="L171" s="242"/>
    </row>
    <row r="172" s="22" customFormat="1" ht="15.6" spans="12:12">
      <c r="L172" s="242"/>
    </row>
    <row r="173" s="22" customFormat="1" ht="15.6" spans="12:12">
      <c r="L173" s="242"/>
    </row>
    <row r="174" s="22" customFormat="1" ht="15.6" spans="12:12">
      <c r="L174" s="242"/>
    </row>
    <row r="175" s="22" customFormat="1" ht="15.6" spans="12:12">
      <c r="L175" s="242"/>
    </row>
    <row r="176" s="22" customFormat="1" ht="15.6" spans="12:12">
      <c r="L176" s="242"/>
    </row>
    <row r="177" s="22" customFormat="1" ht="15.6" spans="12:12">
      <c r="L177" s="242"/>
    </row>
    <row r="178" s="22" customFormat="1" ht="15.6" spans="12:12">
      <c r="L178" s="242"/>
    </row>
    <row r="179" s="22" customFormat="1" ht="15.6" spans="12:12">
      <c r="L179" s="242"/>
    </row>
    <row r="180" s="22" customFormat="1" ht="15.6" spans="12:12">
      <c r="L180" s="242"/>
    </row>
    <row r="181" s="22" customFormat="1" ht="15.6" spans="12:12">
      <c r="L181" s="242"/>
    </row>
    <row r="182" s="22" customFormat="1" ht="15.6" spans="12:12">
      <c r="L182" s="242"/>
    </row>
    <row r="183" s="22" customFormat="1" ht="15.6" spans="12:12">
      <c r="L183" s="242"/>
    </row>
    <row r="184" s="22" customFormat="1" ht="15.6" spans="12:12">
      <c r="L184" s="242"/>
    </row>
    <row r="185" s="22" customFormat="1" ht="15.6" spans="12:12">
      <c r="L185" s="242"/>
    </row>
    <row r="186" s="22" customFormat="1" ht="15.6" spans="12:12">
      <c r="L186" s="242"/>
    </row>
    <row r="187" s="22" customFormat="1" ht="15.6" spans="12:12">
      <c r="L187" s="242"/>
    </row>
    <row r="188" s="22" customFormat="1" ht="15.6" spans="12:12">
      <c r="L188" s="242"/>
    </row>
    <row r="189" s="22" customFormat="1" ht="15.6" spans="12:12">
      <c r="L189" s="242"/>
    </row>
    <row r="190" s="22" customFormat="1" ht="15.6" spans="12:12">
      <c r="L190" s="242"/>
    </row>
    <row r="191" s="22" customFormat="1" ht="15.6" spans="12:12">
      <c r="L191" s="242"/>
    </row>
    <row r="192" s="22" customFormat="1" ht="15.6" spans="12:12">
      <c r="L192" s="242"/>
    </row>
    <row r="193" s="22" customFormat="1" ht="15.6" spans="12:12">
      <c r="L193" s="242"/>
    </row>
    <row r="194" s="22" customFormat="1" ht="15.6" spans="12:12">
      <c r="L194" s="242"/>
    </row>
    <row r="195" s="22" customFormat="1" ht="15.6" spans="12:12">
      <c r="L195" s="242"/>
    </row>
    <row r="196" s="22" customFormat="1" ht="15.6" spans="12:12">
      <c r="L196" s="242"/>
    </row>
    <row r="197" s="22" customFormat="1" ht="15.6" spans="12:12">
      <c r="L197" s="242"/>
    </row>
    <row r="198" s="22" customFormat="1" ht="15.6" spans="12:12">
      <c r="L198" s="242"/>
    </row>
    <row r="199" s="22" customFormat="1" ht="15.6" spans="12:12">
      <c r="L199" s="242"/>
    </row>
    <row r="200" s="22" customFormat="1" ht="15.6" spans="12:12">
      <c r="L200" s="242"/>
    </row>
    <row r="201" s="22" customFormat="1" ht="15.6" spans="12:12">
      <c r="L201" s="242"/>
    </row>
    <row r="202" s="22" customFormat="1" ht="15.6" spans="12:12">
      <c r="L202" s="242"/>
    </row>
    <row r="203" s="22" customFormat="1" ht="15.6" spans="12:12">
      <c r="L203" s="242"/>
    </row>
    <row r="204" s="22" customFormat="1" ht="15.6" spans="12:12">
      <c r="L204" s="242"/>
    </row>
    <row r="205" s="22" customFormat="1" ht="15.6" spans="12:12">
      <c r="L205" s="242"/>
    </row>
    <row r="206" s="22" customFormat="1" ht="15.6" spans="12:12">
      <c r="L206" s="242"/>
    </row>
    <row r="207" s="22" customFormat="1" ht="15.6" spans="12:12">
      <c r="L207" s="242"/>
    </row>
    <row r="208" s="22" customFormat="1" ht="15.6" spans="12:12">
      <c r="L208" s="242"/>
    </row>
    <row r="209" s="22" customFormat="1" ht="15.6" spans="12:12">
      <c r="L209" s="242"/>
    </row>
    <row r="210" s="22" customFormat="1" ht="15.6" spans="12:12">
      <c r="L210" s="242"/>
    </row>
    <row r="211" s="22" customFormat="1" ht="15.6" spans="12:12">
      <c r="L211" s="242"/>
    </row>
    <row r="212" s="22" customFormat="1" ht="15.6" spans="12:12">
      <c r="L212" s="242"/>
    </row>
    <row r="213" s="22" customFormat="1" ht="15.6" spans="12:12">
      <c r="L213" s="242"/>
    </row>
    <row r="214" s="22" customFormat="1" ht="15.6" spans="12:12">
      <c r="L214" s="242"/>
    </row>
    <row r="215" s="22" customFormat="1" ht="15.6" spans="12:12">
      <c r="L215" s="242"/>
    </row>
    <row r="216" s="22" customFormat="1" ht="15.6" spans="12:12">
      <c r="L216" s="242"/>
    </row>
    <row r="217" s="22" customFormat="1" ht="15.6" spans="12:12">
      <c r="L217" s="242"/>
    </row>
    <row r="218" s="22" customFormat="1" ht="15.6" spans="12:12">
      <c r="L218" s="242"/>
    </row>
    <row r="219" s="22" customFormat="1" ht="15.6" spans="12:12">
      <c r="L219" s="242"/>
    </row>
    <row r="220" s="22" customFormat="1" ht="15.6" spans="12:12">
      <c r="L220" s="242"/>
    </row>
    <row r="221" s="22" customFormat="1" ht="15.6" spans="12:12">
      <c r="L221" s="242"/>
    </row>
    <row r="222" s="22" customFormat="1" ht="15.6" spans="12:12">
      <c r="L222" s="242"/>
    </row>
    <row r="223" s="22" customFormat="1" ht="15.6" spans="12:12">
      <c r="L223" s="242"/>
    </row>
    <row r="224" s="22" customFormat="1" ht="15.6" spans="12:12">
      <c r="L224" s="242"/>
    </row>
    <row r="225" s="22" customFormat="1" ht="15.6" spans="12:12">
      <c r="L225" s="242"/>
    </row>
    <row r="226" s="22" customFormat="1" ht="15.6" spans="12:12">
      <c r="L226" s="242"/>
    </row>
    <row r="227" s="22" customFormat="1" ht="15.6" spans="12:12">
      <c r="L227" s="242"/>
    </row>
    <row r="228" s="22" customFormat="1" ht="15.6" spans="12:12">
      <c r="L228" s="242"/>
    </row>
    <row r="229" s="22" customFormat="1" ht="15.6" spans="12:12">
      <c r="L229" s="242"/>
    </row>
    <row r="230" s="22" customFormat="1" ht="15.6" spans="12:12">
      <c r="L230" s="242"/>
    </row>
    <row r="231" s="22" customFormat="1" ht="15.6" spans="12:12">
      <c r="L231" s="242"/>
    </row>
    <row r="232" s="22" customFormat="1" ht="15.6" spans="12:12">
      <c r="L232" s="242"/>
    </row>
    <row r="233" s="22" customFormat="1" ht="15.6" spans="12:12">
      <c r="L233" s="242"/>
    </row>
    <row r="234" s="22" customFormat="1" ht="15.6" spans="12:12">
      <c r="L234" s="242"/>
    </row>
    <row r="235" s="22" customFormat="1" ht="15.6" spans="12:12">
      <c r="L235" s="242"/>
    </row>
    <row r="236" s="22" customFormat="1" ht="15.6" spans="12:12">
      <c r="L236" s="242"/>
    </row>
    <row r="237" s="22" customFormat="1" ht="15.6" spans="12:12">
      <c r="L237" s="242"/>
    </row>
    <row r="238" s="22" customFormat="1" ht="15.6" spans="12:12">
      <c r="L238" s="242"/>
    </row>
    <row r="239" s="22" customFormat="1" ht="15.6" spans="12:12">
      <c r="L239" s="242"/>
    </row>
    <row r="240" s="22" customFormat="1" ht="15.6" spans="12:12">
      <c r="L240" s="242"/>
    </row>
    <row r="241" s="22" customFormat="1" ht="15.6" spans="12:12">
      <c r="L241" s="242"/>
    </row>
    <row r="242" s="22" customFormat="1" ht="15.6" spans="12:12">
      <c r="L242" s="242"/>
    </row>
    <row r="243" s="22" customFormat="1" ht="15.6" spans="12:12">
      <c r="L243" s="242"/>
    </row>
    <row r="244" s="22" customFormat="1" ht="15.6" spans="12:12">
      <c r="L244" s="242"/>
    </row>
    <row r="245" s="22" customFormat="1" ht="15.6" spans="12:12">
      <c r="L245" s="242"/>
    </row>
    <row r="246" s="22" customFormat="1" ht="15.6" spans="12:12">
      <c r="L246" s="242"/>
    </row>
    <row r="247" s="22" customFormat="1" ht="15.6" spans="12:12">
      <c r="L247" s="242"/>
    </row>
    <row r="248" s="22" customFormat="1" ht="15.6" spans="12:12">
      <c r="L248" s="242"/>
    </row>
    <row r="249" s="22" customFormat="1" ht="15.6" spans="12:12">
      <c r="L249" s="242"/>
    </row>
    <row r="250" s="22" customFormat="1" ht="15.6" spans="12:12">
      <c r="L250" s="242"/>
    </row>
    <row r="251" s="22" customFormat="1" ht="15.6" spans="12:12">
      <c r="L251" s="242"/>
    </row>
    <row r="252" s="22" customFormat="1" ht="15.6" spans="12:12">
      <c r="L252" s="242"/>
    </row>
    <row r="253" s="22" customFormat="1" ht="15.6" spans="12:12">
      <c r="L253" s="242"/>
    </row>
    <row r="254" s="22" customFormat="1" ht="15.6" spans="12:12">
      <c r="L254" s="242"/>
    </row>
  </sheetData>
  <mergeCells count="13">
    <mergeCell ref="A2:L2"/>
    <mergeCell ref="B4:I4"/>
    <mergeCell ref="J4:L4"/>
    <mergeCell ref="H5:I5"/>
    <mergeCell ref="K5:L5"/>
    <mergeCell ref="A4:A6"/>
    <mergeCell ref="B5:B6"/>
    <mergeCell ref="C5:C6"/>
    <mergeCell ref="D5:D6"/>
    <mergeCell ref="E5:E6"/>
    <mergeCell ref="F5:F6"/>
    <mergeCell ref="G5:G6"/>
    <mergeCell ref="J5:J6"/>
  </mergeCells>
  <pageMargins left="0.357638888888889" right="0.357638888888889" top="0.409027777777778" bottom="0.60625" header="0.5" footer="0.5"/>
  <pageSetup paperSize="9" firstPageNumber="108" orientation="landscape" useFirstPageNumber="1" horizontalDpi="600"/>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56"/>
  <sheetViews>
    <sheetView showZeros="0" tabSelected="1" workbookViewId="0">
      <pane xSplit="1" ySplit="6" topLeftCell="B39" activePane="bottomRight" state="frozen"/>
      <selection/>
      <selection pane="topRight"/>
      <selection pane="bottomLeft"/>
      <selection pane="bottomRight" activeCell="O53" sqref="O53"/>
    </sheetView>
  </sheetViews>
  <sheetFormatPr defaultColWidth="9" defaultRowHeight="14.4"/>
  <cols>
    <col min="1" max="1" width="27.5" style="128" customWidth="1"/>
    <col min="2" max="2" width="8.62962962962963" style="136" customWidth="1"/>
    <col min="3" max="3" width="7.5" style="128" customWidth="1"/>
    <col min="4" max="4" width="9" style="137" customWidth="1"/>
    <col min="5" max="5" width="8.75" style="128" customWidth="1"/>
    <col min="6" max="6" width="8.87962962962963" style="128" customWidth="1"/>
    <col min="7" max="7" width="8.25" style="128" customWidth="1"/>
    <col min="8" max="8" width="7.75" style="128" customWidth="1"/>
    <col min="9" max="9" width="9.12962962962963" style="138" customWidth="1"/>
    <col min="10" max="10" width="8.12962962962963" style="128" customWidth="1"/>
    <col min="11" max="11" width="7.5" style="128" customWidth="1"/>
    <col min="12" max="12" width="7.25" style="128" customWidth="1"/>
    <col min="13" max="13" width="7.87962962962963" style="128" customWidth="1"/>
    <col min="14" max="14" width="8.75" style="128" customWidth="1"/>
    <col min="15" max="15" width="9.25" style="128" customWidth="1"/>
    <col min="16" max="16384" width="9" style="128"/>
  </cols>
  <sheetData>
    <row r="1" s="128" customFormat="1" ht="23.1" customHeight="1" spans="1:9">
      <c r="A1" s="139" t="s">
        <v>1887</v>
      </c>
      <c r="B1" s="136"/>
      <c r="D1" s="137"/>
      <c r="I1" s="138"/>
    </row>
    <row r="2" s="129" customFormat="1" ht="30.95" customHeight="1" spans="1:15">
      <c r="A2" s="140" t="s">
        <v>1888</v>
      </c>
      <c r="B2" s="141"/>
      <c r="C2" s="141"/>
      <c r="D2" s="141"/>
      <c r="E2" s="141"/>
      <c r="F2" s="141"/>
      <c r="G2" s="141"/>
      <c r="H2" s="141"/>
      <c r="I2" s="171"/>
      <c r="J2" s="141"/>
      <c r="K2" s="141"/>
      <c r="L2" s="141"/>
      <c r="M2" s="141"/>
      <c r="N2" s="141"/>
      <c r="O2" s="141"/>
    </row>
    <row r="3" s="130" customFormat="1" ht="21.95" customHeight="1" spans="1:15">
      <c r="A3" s="142"/>
      <c r="B3" s="143"/>
      <c r="C3" s="143"/>
      <c r="D3" s="143"/>
      <c r="E3" s="144"/>
      <c r="F3" s="144"/>
      <c r="G3" s="143"/>
      <c r="H3" s="143"/>
      <c r="I3" s="172"/>
      <c r="J3" s="143"/>
      <c r="K3" s="143"/>
      <c r="L3" s="143"/>
      <c r="M3" s="143"/>
      <c r="N3" s="173" t="s">
        <v>2</v>
      </c>
      <c r="O3" s="144"/>
    </row>
    <row r="4" s="131" customFormat="1" ht="27" customHeight="1" spans="1:15">
      <c r="A4" s="145" t="s">
        <v>3</v>
      </c>
      <c r="B4" s="146" t="s">
        <v>4</v>
      </c>
      <c r="C4" s="147"/>
      <c r="D4" s="147"/>
      <c r="E4" s="147"/>
      <c r="F4" s="147"/>
      <c r="G4" s="147"/>
      <c r="H4" s="147"/>
      <c r="I4" s="174"/>
      <c r="J4" s="150" t="s">
        <v>5</v>
      </c>
      <c r="K4" s="150"/>
      <c r="L4" s="150"/>
      <c r="M4" s="150"/>
      <c r="N4" s="150"/>
      <c r="O4" s="150"/>
    </row>
    <row r="5" s="131" customFormat="1" ht="30.95" customHeight="1" spans="1:15">
      <c r="A5" s="145"/>
      <c r="B5" s="148" t="s">
        <v>115</v>
      </c>
      <c r="C5" s="148" t="s">
        <v>1889</v>
      </c>
      <c r="D5" s="148" t="s">
        <v>166</v>
      </c>
      <c r="E5" s="149" t="s">
        <v>1890</v>
      </c>
      <c r="F5" s="149" t="s">
        <v>1891</v>
      </c>
      <c r="G5" s="148" t="s">
        <v>1892</v>
      </c>
      <c r="H5" s="150" t="s">
        <v>119</v>
      </c>
      <c r="I5" s="175"/>
      <c r="J5" s="148" t="s">
        <v>12</v>
      </c>
      <c r="K5" s="176" t="s">
        <v>1893</v>
      </c>
      <c r="L5" s="176"/>
      <c r="M5" s="176"/>
      <c r="N5" s="150" t="s">
        <v>13</v>
      </c>
      <c r="O5" s="150"/>
    </row>
    <row r="6" s="132" customFormat="1" ht="30.95" customHeight="1" spans="1:15">
      <c r="A6" s="145"/>
      <c r="B6" s="151"/>
      <c r="C6" s="151"/>
      <c r="D6" s="151"/>
      <c r="E6" s="152"/>
      <c r="F6" s="152"/>
      <c r="G6" s="151"/>
      <c r="H6" s="153" t="s">
        <v>14</v>
      </c>
      <c r="I6" s="177" t="s">
        <v>1856</v>
      </c>
      <c r="J6" s="151"/>
      <c r="K6" s="178" t="s">
        <v>1894</v>
      </c>
      <c r="L6" s="178" t="s">
        <v>1895</v>
      </c>
      <c r="M6" s="178" t="s">
        <v>1896</v>
      </c>
      <c r="N6" s="153" t="s">
        <v>14</v>
      </c>
      <c r="O6" s="177" t="s">
        <v>1856</v>
      </c>
    </row>
    <row r="7" s="131" customFormat="1" ht="26.1" customHeight="1" spans="1:16">
      <c r="A7" s="154" t="s">
        <v>1897</v>
      </c>
      <c r="B7" s="155">
        <f>SUM(B8:B19)</f>
        <v>17</v>
      </c>
      <c r="C7" s="155">
        <f>C8</f>
        <v>4</v>
      </c>
      <c r="D7" s="155">
        <f>D8</f>
        <v>4</v>
      </c>
      <c r="E7" s="156">
        <f>D7/B7</f>
        <v>0.235294117647059</v>
      </c>
      <c r="F7" s="157">
        <f t="shared" ref="F7:F9" si="0">D7/C7</f>
        <v>1</v>
      </c>
      <c r="G7" s="155">
        <f>G8+G13</f>
        <v>120</v>
      </c>
      <c r="H7" s="155">
        <f t="shared" ref="H7:H25" si="1">D7-G7</f>
        <v>-116</v>
      </c>
      <c r="I7" s="179">
        <f t="shared" ref="I7:I9" si="2">H7/G7</f>
        <v>-0.966666666666667</v>
      </c>
      <c r="J7" s="155">
        <f t="shared" ref="J7:M7" si="3">SUM(J8:J19)</f>
        <v>4</v>
      </c>
      <c r="K7" s="155">
        <f t="shared" si="3"/>
        <v>0</v>
      </c>
      <c r="L7" s="155">
        <f t="shared" si="3"/>
        <v>4</v>
      </c>
      <c r="M7" s="155">
        <f t="shared" si="3"/>
        <v>0</v>
      </c>
      <c r="N7" s="165">
        <f t="shared" ref="N7:N23" si="4">J7-D7</f>
        <v>0</v>
      </c>
      <c r="O7" s="180">
        <f t="shared" ref="O7:O9" si="5">N7/D7</f>
        <v>0</v>
      </c>
      <c r="P7" s="181"/>
    </row>
    <row r="8" s="132" customFormat="1" ht="29.1" customHeight="1" spans="1:16">
      <c r="A8" s="158" t="s">
        <v>1898</v>
      </c>
      <c r="B8" s="159"/>
      <c r="C8" s="159">
        <f>SUM(C9:C12)</f>
        <v>4</v>
      </c>
      <c r="D8" s="159">
        <f>SUM(D9:D12)</f>
        <v>4</v>
      </c>
      <c r="E8" s="160"/>
      <c r="F8" s="161">
        <f t="shared" si="0"/>
        <v>1</v>
      </c>
      <c r="G8" s="159">
        <v>20</v>
      </c>
      <c r="H8" s="162">
        <f t="shared" si="1"/>
        <v>-16</v>
      </c>
      <c r="I8" s="182">
        <f t="shared" si="2"/>
        <v>-0.8</v>
      </c>
      <c r="J8" s="164">
        <f t="shared" ref="J8:J19" si="6">SUM(K8:M8)</f>
        <v>0</v>
      </c>
      <c r="K8" s="159"/>
      <c r="L8" s="159"/>
      <c r="M8" s="159"/>
      <c r="N8" s="164">
        <f t="shared" si="4"/>
        <v>-4</v>
      </c>
      <c r="O8" s="183">
        <f t="shared" si="5"/>
        <v>-1</v>
      </c>
      <c r="P8" s="184"/>
    </row>
    <row r="9" s="132" customFormat="1" ht="26.1" customHeight="1" spans="1:16">
      <c r="A9" s="158" t="s">
        <v>1899</v>
      </c>
      <c r="B9" s="159">
        <v>16</v>
      </c>
      <c r="C9" s="159">
        <v>1</v>
      </c>
      <c r="D9" s="159">
        <v>1</v>
      </c>
      <c r="E9" s="160"/>
      <c r="F9" s="161">
        <f t="shared" si="0"/>
        <v>1</v>
      </c>
      <c r="G9" s="159">
        <v>19</v>
      </c>
      <c r="H9" s="162">
        <f t="shared" si="1"/>
        <v>-18</v>
      </c>
      <c r="I9" s="182">
        <f t="shared" si="2"/>
        <v>-0.947368421052632</v>
      </c>
      <c r="J9" s="164">
        <f t="shared" si="6"/>
        <v>1</v>
      </c>
      <c r="K9" s="159"/>
      <c r="L9" s="159">
        <v>1</v>
      </c>
      <c r="M9" s="159"/>
      <c r="N9" s="164">
        <f t="shared" si="4"/>
        <v>0</v>
      </c>
      <c r="O9" s="183">
        <f t="shared" si="5"/>
        <v>0</v>
      </c>
      <c r="P9" s="184"/>
    </row>
    <row r="10" s="132" customFormat="1" ht="21" customHeight="1" spans="1:16">
      <c r="A10" s="158" t="s">
        <v>1900</v>
      </c>
      <c r="B10" s="159">
        <v>1</v>
      </c>
      <c r="C10" s="159">
        <v>0</v>
      </c>
      <c r="D10" s="159">
        <v>0</v>
      </c>
      <c r="E10" s="160"/>
      <c r="F10" s="161"/>
      <c r="G10" s="159">
        <v>0</v>
      </c>
      <c r="H10" s="162">
        <f t="shared" si="1"/>
        <v>0</v>
      </c>
      <c r="I10" s="182"/>
      <c r="J10" s="164">
        <f t="shared" si="6"/>
        <v>0</v>
      </c>
      <c r="K10" s="159"/>
      <c r="L10" s="159"/>
      <c r="M10" s="159"/>
      <c r="N10" s="164">
        <f t="shared" si="4"/>
        <v>0</v>
      </c>
      <c r="O10" s="183"/>
      <c r="P10" s="184"/>
    </row>
    <row r="11" s="132" customFormat="1" ht="33" hidden="1" customHeight="1" spans="1:16">
      <c r="A11" s="158" t="s">
        <v>1901</v>
      </c>
      <c r="B11" s="159"/>
      <c r="C11" s="159"/>
      <c r="D11" s="159"/>
      <c r="E11" s="160"/>
      <c r="F11" s="161" t="e">
        <f t="shared" ref="F11:F18" si="7">D11/C11</f>
        <v>#DIV/0!</v>
      </c>
      <c r="G11" s="159"/>
      <c r="H11" s="162">
        <f t="shared" si="1"/>
        <v>0</v>
      </c>
      <c r="I11" s="182" t="e">
        <f t="shared" ref="I11:I18" si="8">H11/G11</f>
        <v>#DIV/0!</v>
      </c>
      <c r="J11" s="164">
        <f t="shared" si="6"/>
        <v>0</v>
      </c>
      <c r="K11" s="159"/>
      <c r="L11" s="159"/>
      <c r="M11" s="159"/>
      <c r="N11" s="164">
        <f t="shared" si="4"/>
        <v>0</v>
      </c>
      <c r="O11" s="183" t="e">
        <f t="shared" ref="O11:O18" si="9">N11/D11</f>
        <v>#DIV/0!</v>
      </c>
      <c r="P11" s="184"/>
    </row>
    <row r="12" s="132" customFormat="1" ht="24.95" customHeight="1" spans="1:16">
      <c r="A12" s="158" t="s">
        <v>1902</v>
      </c>
      <c r="B12" s="159"/>
      <c r="C12" s="159">
        <v>3</v>
      </c>
      <c r="D12" s="159">
        <v>3</v>
      </c>
      <c r="E12" s="160"/>
      <c r="F12" s="161">
        <f t="shared" si="7"/>
        <v>1</v>
      </c>
      <c r="G12" s="159">
        <v>1</v>
      </c>
      <c r="H12" s="162">
        <f t="shared" si="1"/>
        <v>2</v>
      </c>
      <c r="I12" s="182"/>
      <c r="J12" s="164">
        <f t="shared" si="6"/>
        <v>3</v>
      </c>
      <c r="K12" s="159"/>
      <c r="L12" s="159">
        <v>3</v>
      </c>
      <c r="M12" s="159"/>
      <c r="N12" s="164">
        <f t="shared" si="4"/>
        <v>0</v>
      </c>
      <c r="O12" s="183">
        <f t="shared" si="9"/>
        <v>0</v>
      </c>
      <c r="P12" s="184"/>
    </row>
    <row r="13" s="132" customFormat="1" ht="18.75" customHeight="1" spans="1:16">
      <c r="A13" s="163" t="s">
        <v>1903</v>
      </c>
      <c r="B13" s="164"/>
      <c r="C13" s="164">
        <v>0</v>
      </c>
      <c r="D13" s="164">
        <v>0</v>
      </c>
      <c r="E13" s="160"/>
      <c r="F13" s="161"/>
      <c r="G13" s="164">
        <v>100</v>
      </c>
      <c r="H13" s="162">
        <f t="shared" si="1"/>
        <v>-100</v>
      </c>
      <c r="I13" s="182"/>
      <c r="J13" s="164">
        <f t="shared" si="6"/>
        <v>0</v>
      </c>
      <c r="K13" s="164"/>
      <c r="L13" s="164"/>
      <c r="M13" s="164"/>
      <c r="N13" s="164">
        <f t="shared" si="4"/>
        <v>0</v>
      </c>
      <c r="O13" s="183"/>
      <c r="P13" s="184"/>
    </row>
    <row r="14" s="132" customFormat="1" ht="18.75" hidden="1" customHeight="1" spans="1:16">
      <c r="A14" s="163" t="s">
        <v>1904</v>
      </c>
      <c r="B14" s="164"/>
      <c r="C14" s="164"/>
      <c r="D14" s="164"/>
      <c r="E14" s="160" t="e">
        <f t="shared" ref="E14:E18" si="10">D14/B14</f>
        <v>#DIV/0!</v>
      </c>
      <c r="F14" s="161" t="e">
        <f t="shared" si="7"/>
        <v>#DIV/0!</v>
      </c>
      <c r="G14" s="164"/>
      <c r="H14" s="162">
        <f t="shared" si="1"/>
        <v>0</v>
      </c>
      <c r="I14" s="182" t="e">
        <f t="shared" si="8"/>
        <v>#DIV/0!</v>
      </c>
      <c r="J14" s="164">
        <f t="shared" si="6"/>
        <v>0</v>
      </c>
      <c r="K14" s="164"/>
      <c r="L14" s="164"/>
      <c r="M14" s="164"/>
      <c r="N14" s="164">
        <f t="shared" si="4"/>
        <v>0</v>
      </c>
      <c r="O14" s="183" t="e">
        <f t="shared" si="9"/>
        <v>#DIV/0!</v>
      </c>
      <c r="P14" s="184"/>
    </row>
    <row r="15" s="132" customFormat="1" ht="33.75" hidden="1" customHeight="1" spans="1:16">
      <c r="A15" s="163" t="s">
        <v>1905</v>
      </c>
      <c r="B15" s="164"/>
      <c r="C15" s="164"/>
      <c r="D15" s="164"/>
      <c r="E15" s="160" t="e">
        <f t="shared" si="10"/>
        <v>#DIV/0!</v>
      </c>
      <c r="F15" s="161" t="e">
        <f t="shared" si="7"/>
        <v>#DIV/0!</v>
      </c>
      <c r="G15" s="164"/>
      <c r="H15" s="162">
        <f t="shared" si="1"/>
        <v>0</v>
      </c>
      <c r="I15" s="182" t="e">
        <f t="shared" si="8"/>
        <v>#DIV/0!</v>
      </c>
      <c r="J15" s="164">
        <f t="shared" si="6"/>
        <v>0</v>
      </c>
      <c r="K15" s="164"/>
      <c r="L15" s="164"/>
      <c r="M15" s="164"/>
      <c r="N15" s="164">
        <f t="shared" si="4"/>
        <v>0</v>
      </c>
      <c r="O15" s="183" t="e">
        <f t="shared" si="9"/>
        <v>#DIV/0!</v>
      </c>
      <c r="P15" s="184"/>
    </row>
    <row r="16" s="132" customFormat="1" ht="18.75" hidden="1" customHeight="1" spans="1:16">
      <c r="A16" s="163" t="s">
        <v>1906</v>
      </c>
      <c r="B16" s="164"/>
      <c r="C16" s="164"/>
      <c r="D16" s="164"/>
      <c r="E16" s="160" t="e">
        <f t="shared" si="10"/>
        <v>#DIV/0!</v>
      </c>
      <c r="F16" s="161" t="e">
        <f t="shared" si="7"/>
        <v>#DIV/0!</v>
      </c>
      <c r="G16" s="164"/>
      <c r="H16" s="162">
        <f t="shared" si="1"/>
        <v>0</v>
      </c>
      <c r="I16" s="182" t="e">
        <f t="shared" si="8"/>
        <v>#DIV/0!</v>
      </c>
      <c r="J16" s="164">
        <f t="shared" si="6"/>
        <v>0</v>
      </c>
      <c r="K16" s="164"/>
      <c r="L16" s="164"/>
      <c r="M16" s="164"/>
      <c r="N16" s="164">
        <f t="shared" si="4"/>
        <v>0</v>
      </c>
      <c r="O16" s="183" t="e">
        <f t="shared" si="9"/>
        <v>#DIV/0!</v>
      </c>
      <c r="P16" s="184"/>
    </row>
    <row r="17" s="132" customFormat="1" ht="18.75" hidden="1" customHeight="1" spans="1:16">
      <c r="A17" s="163" t="s">
        <v>1907</v>
      </c>
      <c r="B17" s="164"/>
      <c r="C17" s="164"/>
      <c r="D17" s="164"/>
      <c r="E17" s="160" t="e">
        <f t="shared" si="10"/>
        <v>#DIV/0!</v>
      </c>
      <c r="F17" s="161" t="e">
        <f t="shared" si="7"/>
        <v>#DIV/0!</v>
      </c>
      <c r="G17" s="164"/>
      <c r="H17" s="162">
        <f t="shared" si="1"/>
        <v>0</v>
      </c>
      <c r="I17" s="182" t="e">
        <f t="shared" si="8"/>
        <v>#DIV/0!</v>
      </c>
      <c r="J17" s="164">
        <f t="shared" si="6"/>
        <v>0</v>
      </c>
      <c r="K17" s="164"/>
      <c r="L17" s="164"/>
      <c r="M17" s="164"/>
      <c r="N17" s="164">
        <f t="shared" si="4"/>
        <v>0</v>
      </c>
      <c r="O17" s="183" t="e">
        <f t="shared" si="9"/>
        <v>#DIV/0!</v>
      </c>
      <c r="P17" s="184"/>
    </row>
    <row r="18" s="132" customFormat="1" ht="18.75" hidden="1" customHeight="1" spans="1:16">
      <c r="A18" s="163" t="s">
        <v>1908</v>
      </c>
      <c r="B18" s="164"/>
      <c r="C18" s="164"/>
      <c r="D18" s="164"/>
      <c r="E18" s="160" t="e">
        <f t="shared" si="10"/>
        <v>#DIV/0!</v>
      </c>
      <c r="F18" s="161" t="e">
        <f t="shared" si="7"/>
        <v>#DIV/0!</v>
      </c>
      <c r="G18" s="164"/>
      <c r="H18" s="162">
        <f t="shared" si="1"/>
        <v>0</v>
      </c>
      <c r="I18" s="182" t="e">
        <f t="shared" si="8"/>
        <v>#DIV/0!</v>
      </c>
      <c r="J18" s="164">
        <f t="shared" si="6"/>
        <v>0</v>
      </c>
      <c r="K18" s="164"/>
      <c r="L18" s="164"/>
      <c r="M18" s="164"/>
      <c r="N18" s="164">
        <f t="shared" si="4"/>
        <v>0</v>
      </c>
      <c r="O18" s="183" t="e">
        <f t="shared" si="9"/>
        <v>#DIV/0!</v>
      </c>
      <c r="P18" s="184"/>
    </row>
    <row r="19" s="132" customFormat="1" ht="30" customHeight="1" spans="1:16">
      <c r="A19" s="158" t="s">
        <v>1909</v>
      </c>
      <c r="B19" s="164"/>
      <c r="C19" s="164">
        <v>0</v>
      </c>
      <c r="D19" s="164">
        <v>0</v>
      </c>
      <c r="E19" s="160"/>
      <c r="F19" s="161"/>
      <c r="G19" s="164">
        <v>0</v>
      </c>
      <c r="H19" s="162">
        <f t="shared" si="1"/>
        <v>0</v>
      </c>
      <c r="I19" s="182"/>
      <c r="J19" s="164">
        <f t="shared" si="6"/>
        <v>0</v>
      </c>
      <c r="K19" s="164"/>
      <c r="L19" s="164"/>
      <c r="M19" s="164"/>
      <c r="N19" s="164">
        <f t="shared" si="4"/>
        <v>0</v>
      </c>
      <c r="O19" s="183"/>
      <c r="P19" s="184"/>
    </row>
    <row r="20" s="132" customFormat="1" ht="18.75" hidden="1" customHeight="1" spans="1:16">
      <c r="A20" s="158" t="s">
        <v>1910</v>
      </c>
      <c r="B20" s="159"/>
      <c r="C20" s="159"/>
      <c r="D20" s="159"/>
      <c r="E20" s="160" t="e">
        <f>D20/B20</f>
        <v>#DIV/0!</v>
      </c>
      <c r="F20" s="161" t="e">
        <f t="shared" ref="F20:F24" si="11">D20/C20</f>
        <v>#DIV/0!</v>
      </c>
      <c r="G20" s="159"/>
      <c r="H20" s="162">
        <f t="shared" si="1"/>
        <v>0</v>
      </c>
      <c r="I20" s="182" t="e">
        <f t="shared" ref="I20:I25" si="12">H20/G20</f>
        <v>#DIV/0!</v>
      </c>
      <c r="J20" s="159">
        <v>0</v>
      </c>
      <c r="K20" s="159"/>
      <c r="L20" s="159"/>
      <c r="M20" s="159"/>
      <c r="N20" s="164">
        <f t="shared" si="4"/>
        <v>0</v>
      </c>
      <c r="O20" s="183" t="e">
        <f t="shared" ref="O20:O24" si="13">N20/D20</f>
        <v>#DIV/0!</v>
      </c>
      <c r="P20" s="184"/>
    </row>
    <row r="21" s="132" customFormat="1" ht="30" hidden="1" customHeight="1" spans="1:16">
      <c r="A21" s="158" t="s">
        <v>1911</v>
      </c>
      <c r="B21" s="159"/>
      <c r="C21" s="159"/>
      <c r="D21" s="159"/>
      <c r="E21" s="160" t="e">
        <f>D21/B21</f>
        <v>#DIV/0!</v>
      </c>
      <c r="F21" s="161" t="e">
        <f t="shared" si="11"/>
        <v>#DIV/0!</v>
      </c>
      <c r="G21" s="159"/>
      <c r="H21" s="162">
        <f t="shared" si="1"/>
        <v>0</v>
      </c>
      <c r="I21" s="182" t="e">
        <f t="shared" si="12"/>
        <v>#DIV/0!</v>
      </c>
      <c r="J21" s="159">
        <v>0</v>
      </c>
      <c r="K21" s="159"/>
      <c r="L21" s="159"/>
      <c r="M21" s="159"/>
      <c r="N21" s="164">
        <f t="shared" si="4"/>
        <v>0</v>
      </c>
      <c r="O21" s="183" t="e">
        <f t="shared" si="13"/>
        <v>#DIV/0!</v>
      </c>
      <c r="P21" s="184"/>
    </row>
    <row r="22" s="131" customFormat="1" ht="21" customHeight="1" spans="1:16">
      <c r="A22" s="154" t="s">
        <v>1912</v>
      </c>
      <c r="B22" s="165">
        <f>SUM(B23:B27)</f>
        <v>0</v>
      </c>
      <c r="C22" s="165">
        <f t="shared" ref="C22:G22" si="14">C23+C27</f>
        <v>74</v>
      </c>
      <c r="D22" s="165">
        <f t="shared" si="14"/>
        <v>74</v>
      </c>
      <c r="E22" s="156"/>
      <c r="F22" s="157">
        <f t="shared" si="11"/>
        <v>1</v>
      </c>
      <c r="G22" s="165">
        <f t="shared" si="14"/>
        <v>1776</v>
      </c>
      <c r="H22" s="155">
        <f t="shared" si="1"/>
        <v>-1702</v>
      </c>
      <c r="I22" s="179">
        <f t="shared" si="12"/>
        <v>-0.958333333333333</v>
      </c>
      <c r="J22" s="165">
        <f t="shared" ref="J22:J34" si="15">SUM(K22:M22)</f>
        <v>119.32</v>
      </c>
      <c r="K22" s="165">
        <f t="shared" ref="K22:M22" si="16">SUM(K23:K27)</f>
        <v>0</v>
      </c>
      <c r="L22" s="165">
        <f t="shared" si="16"/>
        <v>74.32</v>
      </c>
      <c r="M22" s="165">
        <f t="shared" si="16"/>
        <v>45</v>
      </c>
      <c r="N22" s="165">
        <f t="shared" si="4"/>
        <v>45.32</v>
      </c>
      <c r="O22" s="180">
        <f t="shared" si="13"/>
        <v>0.612432432432432</v>
      </c>
      <c r="P22" s="181"/>
    </row>
    <row r="23" s="132" customFormat="1" ht="24.95" customHeight="1" spans="1:16">
      <c r="A23" s="158" t="s">
        <v>1913</v>
      </c>
      <c r="B23" s="159"/>
      <c r="C23" s="159">
        <v>49</v>
      </c>
      <c r="D23" s="159">
        <v>49</v>
      </c>
      <c r="E23" s="160"/>
      <c r="F23" s="161">
        <f t="shared" si="11"/>
        <v>1</v>
      </c>
      <c r="G23" s="159">
        <f>SUM(G24:G26)</f>
        <v>1750</v>
      </c>
      <c r="H23" s="162">
        <f t="shared" si="1"/>
        <v>-1701</v>
      </c>
      <c r="I23" s="182">
        <f t="shared" si="12"/>
        <v>-0.972</v>
      </c>
      <c r="J23" s="164">
        <f t="shared" si="15"/>
        <v>0</v>
      </c>
      <c r="K23" s="159"/>
      <c r="L23" s="159"/>
      <c r="M23" s="159"/>
      <c r="N23" s="164">
        <f t="shared" si="4"/>
        <v>-49</v>
      </c>
      <c r="O23" s="183">
        <f t="shared" si="13"/>
        <v>-1</v>
      </c>
      <c r="P23" s="184"/>
    </row>
    <row r="24" s="132" customFormat="1" ht="21" customHeight="1" spans="1:16">
      <c r="A24" s="158" t="s">
        <v>1914</v>
      </c>
      <c r="B24" s="166"/>
      <c r="C24" s="166">
        <v>49</v>
      </c>
      <c r="D24" s="166">
        <v>49</v>
      </c>
      <c r="E24" s="160"/>
      <c r="F24" s="161">
        <f t="shared" si="11"/>
        <v>1</v>
      </c>
      <c r="G24" s="166">
        <v>49</v>
      </c>
      <c r="H24" s="162">
        <f t="shared" si="1"/>
        <v>0</v>
      </c>
      <c r="I24" s="182">
        <f t="shared" si="12"/>
        <v>0</v>
      </c>
      <c r="J24" s="164">
        <f t="shared" si="15"/>
        <v>94.32</v>
      </c>
      <c r="K24" s="166"/>
      <c r="L24" s="166">
        <v>49.32</v>
      </c>
      <c r="M24" s="166">
        <v>45</v>
      </c>
      <c r="N24" s="164"/>
      <c r="O24" s="183">
        <f t="shared" si="13"/>
        <v>0</v>
      </c>
      <c r="P24" s="184"/>
    </row>
    <row r="25" s="132" customFormat="1" ht="21" customHeight="1" spans="1:16">
      <c r="A25" s="158" t="s">
        <v>1915</v>
      </c>
      <c r="B25" s="166"/>
      <c r="C25" s="166">
        <v>0</v>
      </c>
      <c r="D25" s="166">
        <v>0</v>
      </c>
      <c r="E25" s="160"/>
      <c r="F25" s="161"/>
      <c r="G25" s="166">
        <v>1701</v>
      </c>
      <c r="H25" s="162">
        <f t="shared" si="1"/>
        <v>-1701</v>
      </c>
      <c r="I25" s="182">
        <f t="shared" si="12"/>
        <v>-1</v>
      </c>
      <c r="J25" s="164">
        <f t="shared" si="15"/>
        <v>25</v>
      </c>
      <c r="K25" s="166"/>
      <c r="L25" s="166">
        <v>25</v>
      </c>
      <c r="M25" s="166"/>
      <c r="N25" s="164">
        <f t="shared" ref="N25:N71" si="17">J25-D25</f>
        <v>25</v>
      </c>
      <c r="O25" s="183"/>
      <c r="P25" s="184"/>
    </row>
    <row r="26" s="132" customFormat="1" ht="33.95" customHeight="1" spans="1:16">
      <c r="A26" s="158" t="s">
        <v>1916</v>
      </c>
      <c r="B26" s="166"/>
      <c r="C26" s="167">
        <v>0</v>
      </c>
      <c r="D26" s="167">
        <v>0</v>
      </c>
      <c r="E26" s="166"/>
      <c r="F26" s="161"/>
      <c r="G26" s="166">
        <v>0</v>
      </c>
      <c r="H26" s="162">
        <f>E26-G26</f>
        <v>0</v>
      </c>
      <c r="I26" s="182"/>
      <c r="J26" s="164">
        <f t="shared" si="15"/>
        <v>0</v>
      </c>
      <c r="K26" s="166"/>
      <c r="L26" s="166"/>
      <c r="M26" s="166"/>
      <c r="N26" s="164">
        <f>J26-E26</f>
        <v>0</v>
      </c>
      <c r="O26" s="183"/>
      <c r="P26" s="184"/>
    </row>
    <row r="27" s="132" customFormat="1" ht="26.1" customHeight="1" spans="1:17">
      <c r="A27" s="158" t="s">
        <v>1917</v>
      </c>
      <c r="B27" s="164"/>
      <c r="C27" s="164">
        <v>25</v>
      </c>
      <c r="D27" s="164">
        <v>25</v>
      </c>
      <c r="E27" s="160"/>
      <c r="F27" s="161">
        <f t="shared" ref="F27:F33" si="18">D27/C27</f>
        <v>1</v>
      </c>
      <c r="G27" s="164">
        <v>26</v>
      </c>
      <c r="H27" s="162">
        <f t="shared" ref="H27:H86" si="19">D27-G27</f>
        <v>-1</v>
      </c>
      <c r="I27" s="182">
        <f t="shared" ref="I27:I33" si="20">H27/G27</f>
        <v>-0.0384615384615385</v>
      </c>
      <c r="J27" s="164">
        <f t="shared" si="15"/>
        <v>0</v>
      </c>
      <c r="K27" s="164"/>
      <c r="L27" s="164"/>
      <c r="M27" s="164"/>
      <c r="N27" s="164">
        <f t="shared" si="17"/>
        <v>-25</v>
      </c>
      <c r="O27" s="183">
        <f t="shared" ref="O27:O33" si="21">N27/D27</f>
        <v>-1</v>
      </c>
      <c r="P27" s="184"/>
      <c r="Q27" s="132">
        <f>SUM(Q34:Q36)</f>
        <v>0</v>
      </c>
    </row>
    <row r="28" s="132" customFormat="1" ht="18.75" hidden="1" customHeight="1" spans="1:16">
      <c r="A28" s="158" t="s">
        <v>1914</v>
      </c>
      <c r="B28" s="164"/>
      <c r="C28" s="164"/>
      <c r="D28" s="164"/>
      <c r="E28" s="160" t="e">
        <f t="shared" ref="E28:E33" si="22">D28/B28</f>
        <v>#DIV/0!</v>
      </c>
      <c r="F28" s="161" t="e">
        <f t="shared" si="18"/>
        <v>#DIV/0!</v>
      </c>
      <c r="G28" s="164"/>
      <c r="H28" s="162">
        <f t="shared" si="19"/>
        <v>0</v>
      </c>
      <c r="I28" s="182" t="e">
        <f t="shared" si="20"/>
        <v>#DIV/0!</v>
      </c>
      <c r="J28" s="164">
        <f t="shared" si="15"/>
        <v>0</v>
      </c>
      <c r="K28" s="164"/>
      <c r="L28" s="164"/>
      <c r="M28" s="164"/>
      <c r="N28" s="164">
        <f t="shared" si="17"/>
        <v>0</v>
      </c>
      <c r="O28" s="183" t="e">
        <f t="shared" si="21"/>
        <v>#DIV/0!</v>
      </c>
      <c r="P28" s="184"/>
    </row>
    <row r="29" s="132" customFormat="1" ht="17.25" hidden="1" customHeight="1" spans="1:16">
      <c r="A29" s="158" t="s">
        <v>1915</v>
      </c>
      <c r="B29" s="164"/>
      <c r="C29" s="164"/>
      <c r="D29" s="164"/>
      <c r="E29" s="160" t="e">
        <f t="shared" si="22"/>
        <v>#DIV/0!</v>
      </c>
      <c r="F29" s="161" t="e">
        <f t="shared" si="18"/>
        <v>#DIV/0!</v>
      </c>
      <c r="G29" s="164"/>
      <c r="H29" s="162">
        <f t="shared" si="19"/>
        <v>0</v>
      </c>
      <c r="I29" s="182" t="e">
        <f t="shared" si="20"/>
        <v>#DIV/0!</v>
      </c>
      <c r="J29" s="164">
        <f t="shared" si="15"/>
        <v>0</v>
      </c>
      <c r="K29" s="164"/>
      <c r="L29" s="164"/>
      <c r="M29" s="164"/>
      <c r="N29" s="164">
        <f t="shared" si="17"/>
        <v>0</v>
      </c>
      <c r="O29" s="183" t="e">
        <f t="shared" si="21"/>
        <v>#DIV/0!</v>
      </c>
      <c r="P29" s="184"/>
    </row>
    <row r="30" s="132" customFormat="1" ht="18.75" hidden="1" customHeight="1" spans="1:16">
      <c r="A30" s="163" t="s">
        <v>1918</v>
      </c>
      <c r="B30" s="164"/>
      <c r="C30" s="164"/>
      <c r="D30" s="164"/>
      <c r="E30" s="160" t="e">
        <f t="shared" si="22"/>
        <v>#DIV/0!</v>
      </c>
      <c r="F30" s="161" t="e">
        <f t="shared" si="18"/>
        <v>#DIV/0!</v>
      </c>
      <c r="G30" s="164"/>
      <c r="H30" s="162">
        <f t="shared" si="19"/>
        <v>0</v>
      </c>
      <c r="I30" s="182" t="e">
        <f t="shared" si="20"/>
        <v>#DIV/0!</v>
      </c>
      <c r="J30" s="164">
        <f t="shared" si="15"/>
        <v>0</v>
      </c>
      <c r="K30" s="164"/>
      <c r="L30" s="164"/>
      <c r="M30" s="164"/>
      <c r="N30" s="164">
        <f t="shared" si="17"/>
        <v>0</v>
      </c>
      <c r="O30" s="183" t="e">
        <f t="shared" si="21"/>
        <v>#DIV/0!</v>
      </c>
      <c r="P30" s="184"/>
    </row>
    <row r="31" s="132" customFormat="1" ht="30" hidden="1" customHeight="1" spans="1:16">
      <c r="A31" s="158" t="s">
        <v>1919</v>
      </c>
      <c r="B31" s="164"/>
      <c r="C31" s="164"/>
      <c r="D31" s="164"/>
      <c r="E31" s="160" t="e">
        <f t="shared" si="22"/>
        <v>#DIV/0!</v>
      </c>
      <c r="F31" s="161" t="e">
        <f t="shared" si="18"/>
        <v>#DIV/0!</v>
      </c>
      <c r="G31" s="164"/>
      <c r="H31" s="162">
        <f t="shared" si="19"/>
        <v>0</v>
      </c>
      <c r="I31" s="182" t="e">
        <f t="shared" si="20"/>
        <v>#DIV/0!</v>
      </c>
      <c r="J31" s="164">
        <f t="shared" si="15"/>
        <v>0</v>
      </c>
      <c r="K31" s="164"/>
      <c r="L31" s="164"/>
      <c r="M31" s="164"/>
      <c r="N31" s="164">
        <f t="shared" si="17"/>
        <v>0</v>
      </c>
      <c r="O31" s="183" t="e">
        <f t="shared" si="21"/>
        <v>#DIV/0!</v>
      </c>
      <c r="P31" s="184"/>
    </row>
    <row r="32" s="132" customFormat="1" ht="18.75" hidden="1" customHeight="1" spans="1:16">
      <c r="A32" s="158" t="s">
        <v>1915</v>
      </c>
      <c r="B32" s="164"/>
      <c r="C32" s="166"/>
      <c r="D32" s="166"/>
      <c r="E32" s="160" t="e">
        <f t="shared" si="22"/>
        <v>#DIV/0!</v>
      </c>
      <c r="F32" s="161" t="e">
        <f t="shared" si="18"/>
        <v>#DIV/0!</v>
      </c>
      <c r="G32" s="166"/>
      <c r="H32" s="162">
        <f t="shared" si="19"/>
        <v>0</v>
      </c>
      <c r="I32" s="182" t="e">
        <f t="shared" si="20"/>
        <v>#DIV/0!</v>
      </c>
      <c r="J32" s="164">
        <f t="shared" si="15"/>
        <v>0</v>
      </c>
      <c r="K32" s="166"/>
      <c r="L32" s="166"/>
      <c r="M32" s="166"/>
      <c r="N32" s="164">
        <f t="shared" si="17"/>
        <v>0</v>
      </c>
      <c r="O32" s="183" t="e">
        <f t="shared" si="21"/>
        <v>#DIV/0!</v>
      </c>
      <c r="P32" s="184"/>
    </row>
    <row r="33" s="132" customFormat="1" ht="27.95" hidden="1" customHeight="1" spans="1:16">
      <c r="A33" s="163" t="s">
        <v>1920</v>
      </c>
      <c r="B33" s="164"/>
      <c r="C33" s="166"/>
      <c r="D33" s="166"/>
      <c r="E33" s="160" t="e">
        <f t="shared" si="22"/>
        <v>#DIV/0!</v>
      </c>
      <c r="F33" s="161" t="e">
        <f t="shared" si="18"/>
        <v>#DIV/0!</v>
      </c>
      <c r="G33" s="166"/>
      <c r="H33" s="162">
        <f t="shared" si="19"/>
        <v>0</v>
      </c>
      <c r="I33" s="182" t="e">
        <f t="shared" si="20"/>
        <v>#DIV/0!</v>
      </c>
      <c r="J33" s="164">
        <f t="shared" si="15"/>
        <v>0</v>
      </c>
      <c r="K33" s="166"/>
      <c r="L33" s="166"/>
      <c r="M33" s="166"/>
      <c r="N33" s="164">
        <f t="shared" si="17"/>
        <v>0</v>
      </c>
      <c r="O33" s="183" t="e">
        <f t="shared" si="21"/>
        <v>#DIV/0!</v>
      </c>
      <c r="P33" s="184"/>
    </row>
    <row r="34" s="131" customFormat="1" ht="21.95" customHeight="1" spans="1:16">
      <c r="A34" s="154" t="s">
        <v>1921</v>
      </c>
      <c r="B34" s="165"/>
      <c r="C34" s="165">
        <v>0</v>
      </c>
      <c r="D34" s="165">
        <v>0</v>
      </c>
      <c r="E34" s="156"/>
      <c r="F34" s="157"/>
      <c r="G34" s="165">
        <v>0</v>
      </c>
      <c r="H34" s="155">
        <f t="shared" si="19"/>
        <v>0</v>
      </c>
      <c r="I34" s="179"/>
      <c r="J34" s="165">
        <f t="shared" si="15"/>
        <v>0</v>
      </c>
      <c r="K34" s="165"/>
      <c r="L34" s="165"/>
      <c r="M34" s="165"/>
      <c r="N34" s="165">
        <f t="shared" si="17"/>
        <v>0</v>
      </c>
      <c r="O34" s="180"/>
      <c r="P34" s="181"/>
    </row>
    <row r="35" s="131" customFormat="1" ht="21.95" customHeight="1" spans="1:16">
      <c r="A35" s="154" t="s">
        <v>1922</v>
      </c>
      <c r="B35" s="155">
        <f t="shared" ref="B35:G35" si="23">SUM(B36:B42)</f>
        <v>16476</v>
      </c>
      <c r="C35" s="155">
        <f t="shared" si="23"/>
        <v>45049</v>
      </c>
      <c r="D35" s="155">
        <f t="shared" si="23"/>
        <v>26708</v>
      </c>
      <c r="E35" s="156">
        <f t="shared" ref="E35:E41" si="24">D35/B35</f>
        <v>1.62102452051469</v>
      </c>
      <c r="F35" s="157">
        <f>D35/C35</f>
        <v>0.592865546405026</v>
      </c>
      <c r="G35" s="155">
        <f t="shared" si="23"/>
        <v>16012</v>
      </c>
      <c r="H35" s="155">
        <f t="shared" si="19"/>
        <v>10696</v>
      </c>
      <c r="I35" s="179">
        <f t="shared" ref="I35:I37" si="25">H35/G35</f>
        <v>0.667999000749438</v>
      </c>
      <c r="J35" s="155">
        <f t="shared" ref="J35:M35" si="26">SUM(J36:J42)</f>
        <v>34003</v>
      </c>
      <c r="K35" s="155">
        <f t="shared" si="26"/>
        <v>21068</v>
      </c>
      <c r="L35" s="155">
        <f t="shared" si="26"/>
        <v>0</v>
      </c>
      <c r="M35" s="155">
        <f t="shared" si="26"/>
        <v>12935</v>
      </c>
      <c r="N35" s="165">
        <f t="shared" si="17"/>
        <v>7295</v>
      </c>
      <c r="O35" s="180">
        <f t="shared" ref="O35:O37" si="27">N35/D35</f>
        <v>0.27313913434177</v>
      </c>
      <c r="P35" s="181"/>
    </row>
    <row r="36" s="132" customFormat="1" ht="33" customHeight="1" spans="1:16">
      <c r="A36" s="168" t="s">
        <v>1923</v>
      </c>
      <c r="B36" s="159">
        <v>14312</v>
      </c>
      <c r="C36" s="159">
        <f>25342+18219</f>
        <v>43561</v>
      </c>
      <c r="D36" s="159">
        <v>25342</v>
      </c>
      <c r="E36" s="160">
        <f t="shared" si="24"/>
        <v>1.77068194522079</v>
      </c>
      <c r="F36" s="161">
        <f>D36/C36</f>
        <v>0.581758912788963</v>
      </c>
      <c r="G36" s="159">
        <v>11491</v>
      </c>
      <c r="H36" s="162">
        <f t="shared" si="19"/>
        <v>13851</v>
      </c>
      <c r="I36" s="182">
        <f t="shared" si="25"/>
        <v>1.20537812200853</v>
      </c>
      <c r="J36" s="159">
        <f t="shared" ref="J36:J42" si="28">SUM(K36:M36)</f>
        <v>32813</v>
      </c>
      <c r="K36" s="159">
        <v>20000</v>
      </c>
      <c r="L36" s="159"/>
      <c r="M36" s="159">
        <v>12813</v>
      </c>
      <c r="N36" s="164">
        <f t="shared" si="17"/>
        <v>7471</v>
      </c>
      <c r="O36" s="183">
        <f t="shared" si="27"/>
        <v>0.294807039696946</v>
      </c>
      <c r="P36" s="184"/>
    </row>
    <row r="37" s="132" customFormat="1" ht="24" customHeight="1" spans="1:16">
      <c r="A37" s="168" t="s">
        <v>1924</v>
      </c>
      <c r="B37" s="159"/>
      <c r="C37" s="159">
        <v>894</v>
      </c>
      <c r="D37" s="159">
        <v>894</v>
      </c>
      <c r="E37" s="160"/>
      <c r="F37" s="161"/>
      <c r="G37" s="159">
        <v>20</v>
      </c>
      <c r="H37" s="162">
        <f t="shared" si="19"/>
        <v>874</v>
      </c>
      <c r="I37" s="182">
        <f t="shared" si="25"/>
        <v>43.7</v>
      </c>
      <c r="J37" s="159">
        <f t="shared" si="28"/>
        <v>488</v>
      </c>
      <c r="K37" s="159">
        <v>488</v>
      </c>
      <c r="L37" s="159"/>
      <c r="M37" s="159"/>
      <c r="N37" s="164">
        <f t="shared" si="17"/>
        <v>-406</v>
      </c>
      <c r="O37" s="183">
        <f t="shared" si="27"/>
        <v>-0.45413870246085</v>
      </c>
      <c r="P37" s="184"/>
    </row>
    <row r="38" s="132" customFormat="1" ht="28.8" spans="1:16">
      <c r="A38" s="168" t="s">
        <v>1925</v>
      </c>
      <c r="B38" s="159"/>
      <c r="C38" s="159">
        <v>0</v>
      </c>
      <c r="D38" s="159">
        <v>0</v>
      </c>
      <c r="E38" s="160"/>
      <c r="F38" s="161"/>
      <c r="G38" s="159">
        <v>0</v>
      </c>
      <c r="H38" s="162">
        <f t="shared" si="19"/>
        <v>0</v>
      </c>
      <c r="I38" s="182"/>
      <c r="J38" s="159">
        <f t="shared" si="28"/>
        <v>0</v>
      </c>
      <c r="K38" s="159"/>
      <c r="L38" s="159"/>
      <c r="M38" s="159"/>
      <c r="N38" s="164">
        <f t="shared" si="17"/>
        <v>0</v>
      </c>
      <c r="O38" s="183"/>
      <c r="P38" s="184"/>
    </row>
    <row r="39" s="132" customFormat="1" ht="28.8" spans="1:16">
      <c r="A39" s="168" t="s">
        <v>1926</v>
      </c>
      <c r="B39" s="159"/>
      <c r="C39" s="159">
        <v>0</v>
      </c>
      <c r="D39" s="159">
        <v>0</v>
      </c>
      <c r="E39" s="160"/>
      <c r="F39" s="161"/>
      <c r="G39" s="159">
        <v>0</v>
      </c>
      <c r="H39" s="162">
        <f t="shared" si="19"/>
        <v>0</v>
      </c>
      <c r="I39" s="182"/>
      <c r="J39" s="159">
        <f t="shared" si="28"/>
        <v>0</v>
      </c>
      <c r="K39" s="159"/>
      <c r="L39" s="159"/>
      <c r="M39" s="159"/>
      <c r="N39" s="164">
        <f t="shared" si="17"/>
        <v>0</v>
      </c>
      <c r="O39" s="183"/>
      <c r="P39" s="184"/>
    </row>
    <row r="40" s="132" customFormat="1" ht="28.8" spans="1:16">
      <c r="A40" s="168" t="s">
        <v>1927</v>
      </c>
      <c r="B40" s="159">
        <v>1650</v>
      </c>
      <c r="C40" s="159">
        <v>0</v>
      </c>
      <c r="D40" s="159">
        <v>0</v>
      </c>
      <c r="E40" s="160">
        <f t="shared" si="24"/>
        <v>0</v>
      </c>
      <c r="F40" s="161"/>
      <c r="G40" s="159">
        <v>0</v>
      </c>
      <c r="H40" s="162">
        <f t="shared" si="19"/>
        <v>0</v>
      </c>
      <c r="I40" s="182"/>
      <c r="J40" s="159">
        <f t="shared" si="28"/>
        <v>0</v>
      </c>
      <c r="K40" s="159"/>
      <c r="L40" s="159"/>
      <c r="M40" s="159"/>
      <c r="N40" s="164">
        <f t="shared" si="17"/>
        <v>0</v>
      </c>
      <c r="O40" s="183"/>
      <c r="P40" s="184"/>
    </row>
    <row r="41" s="132" customFormat="1" ht="24" customHeight="1" spans="1:16">
      <c r="A41" s="168" t="s">
        <v>1928</v>
      </c>
      <c r="B41" s="159">
        <v>514</v>
      </c>
      <c r="C41" s="159">
        <f>472+122</f>
        <v>594</v>
      </c>
      <c r="D41" s="159">
        <v>472</v>
      </c>
      <c r="E41" s="160">
        <f t="shared" si="24"/>
        <v>0.918287937743191</v>
      </c>
      <c r="F41" s="161">
        <f t="shared" ref="F41:F52" si="29">D41/C41</f>
        <v>0.794612794612795</v>
      </c>
      <c r="G41" s="159">
        <v>501</v>
      </c>
      <c r="H41" s="162">
        <f t="shared" si="19"/>
        <v>-29</v>
      </c>
      <c r="I41" s="182">
        <f t="shared" ref="I41:I52" si="30">H41/G41</f>
        <v>-0.0578842315369262</v>
      </c>
      <c r="J41" s="159">
        <f t="shared" si="28"/>
        <v>702</v>
      </c>
      <c r="K41" s="159">
        <v>580</v>
      </c>
      <c r="L41" s="159"/>
      <c r="M41" s="159">
        <v>122</v>
      </c>
      <c r="N41" s="164">
        <f t="shared" si="17"/>
        <v>230</v>
      </c>
      <c r="O41" s="183">
        <f t="shared" ref="O41:O52" si="31">N41/D41</f>
        <v>0.48728813559322</v>
      </c>
      <c r="P41" s="184"/>
    </row>
    <row r="42" s="132" customFormat="1" ht="28" customHeight="1" spans="1:16">
      <c r="A42" s="168" t="s">
        <v>1929</v>
      </c>
      <c r="B42" s="164"/>
      <c r="C42" s="164">
        <v>0</v>
      </c>
      <c r="D42" s="164">
        <v>0</v>
      </c>
      <c r="E42" s="160"/>
      <c r="F42" s="161"/>
      <c r="G42" s="164">
        <v>4000</v>
      </c>
      <c r="H42" s="162">
        <f t="shared" si="19"/>
        <v>-4000</v>
      </c>
      <c r="I42" s="182" t="s">
        <v>1930</v>
      </c>
      <c r="J42" s="159">
        <f t="shared" si="28"/>
        <v>0</v>
      </c>
      <c r="K42" s="164"/>
      <c r="L42" s="164"/>
      <c r="M42" s="164"/>
      <c r="N42" s="164">
        <f t="shared" si="17"/>
        <v>0</v>
      </c>
      <c r="O42" s="183"/>
      <c r="P42" s="184"/>
    </row>
    <row r="43" s="132" customFormat="1" ht="23.1" hidden="1" customHeight="1" spans="1:16">
      <c r="A43" s="163" t="s">
        <v>1931</v>
      </c>
      <c r="B43" s="164"/>
      <c r="C43" s="164"/>
      <c r="D43" s="164"/>
      <c r="E43" s="160" t="e">
        <f t="shared" ref="E43:E50" si="32">D43/B43</f>
        <v>#DIV/0!</v>
      </c>
      <c r="F43" s="161" t="e">
        <f t="shared" si="29"/>
        <v>#DIV/0!</v>
      </c>
      <c r="G43" s="164"/>
      <c r="H43" s="162">
        <f t="shared" si="19"/>
        <v>0</v>
      </c>
      <c r="I43" s="182" t="e">
        <f t="shared" si="30"/>
        <v>#DIV/0!</v>
      </c>
      <c r="J43" s="159">
        <v>0</v>
      </c>
      <c r="K43" s="164"/>
      <c r="L43" s="164"/>
      <c r="M43" s="164"/>
      <c r="N43" s="164">
        <f t="shared" si="17"/>
        <v>0</v>
      </c>
      <c r="O43" s="183" t="e">
        <f t="shared" si="31"/>
        <v>#DIV/0!</v>
      </c>
      <c r="P43" s="184"/>
    </row>
    <row r="44" s="132" customFormat="1" ht="23.1" hidden="1" customHeight="1" spans="1:16">
      <c r="A44" s="163" t="s">
        <v>1932</v>
      </c>
      <c r="B44" s="164"/>
      <c r="C44" s="164"/>
      <c r="D44" s="164"/>
      <c r="E44" s="160" t="e">
        <f t="shared" si="32"/>
        <v>#DIV/0!</v>
      </c>
      <c r="F44" s="161" t="e">
        <f t="shared" si="29"/>
        <v>#DIV/0!</v>
      </c>
      <c r="G44" s="164"/>
      <c r="H44" s="162">
        <f t="shared" si="19"/>
        <v>0</v>
      </c>
      <c r="I44" s="182" t="e">
        <f t="shared" si="30"/>
        <v>#DIV/0!</v>
      </c>
      <c r="J44" s="159">
        <v>0</v>
      </c>
      <c r="K44" s="164"/>
      <c r="L44" s="164"/>
      <c r="M44" s="164"/>
      <c r="N44" s="164">
        <f t="shared" si="17"/>
        <v>0</v>
      </c>
      <c r="O44" s="183" t="e">
        <f t="shared" si="31"/>
        <v>#DIV/0!</v>
      </c>
      <c r="P44" s="184"/>
    </row>
    <row r="45" s="132" customFormat="1" ht="23.1" hidden="1" customHeight="1" spans="1:16">
      <c r="A45" s="163" t="s">
        <v>1933</v>
      </c>
      <c r="B45" s="164"/>
      <c r="C45" s="164"/>
      <c r="D45" s="164"/>
      <c r="E45" s="160" t="e">
        <f t="shared" si="32"/>
        <v>#DIV/0!</v>
      </c>
      <c r="F45" s="161" t="e">
        <f t="shared" si="29"/>
        <v>#DIV/0!</v>
      </c>
      <c r="G45" s="164"/>
      <c r="H45" s="162">
        <f t="shared" si="19"/>
        <v>0</v>
      </c>
      <c r="I45" s="182" t="e">
        <f t="shared" si="30"/>
        <v>#DIV/0!</v>
      </c>
      <c r="J45" s="159">
        <v>0</v>
      </c>
      <c r="K45" s="164"/>
      <c r="L45" s="164"/>
      <c r="M45" s="164"/>
      <c r="N45" s="164">
        <f t="shared" si="17"/>
        <v>0</v>
      </c>
      <c r="O45" s="183" t="e">
        <f t="shared" si="31"/>
        <v>#DIV/0!</v>
      </c>
      <c r="P45" s="184"/>
    </row>
    <row r="46" s="132" customFormat="1" ht="23.1" hidden="1" customHeight="1" spans="1:16">
      <c r="A46" s="168" t="s">
        <v>1934</v>
      </c>
      <c r="B46" s="164"/>
      <c r="C46" s="164"/>
      <c r="D46" s="164"/>
      <c r="E46" s="160" t="e">
        <f t="shared" si="32"/>
        <v>#DIV/0!</v>
      </c>
      <c r="F46" s="161" t="e">
        <f t="shared" si="29"/>
        <v>#DIV/0!</v>
      </c>
      <c r="G46" s="164"/>
      <c r="H46" s="162">
        <f t="shared" si="19"/>
        <v>0</v>
      </c>
      <c r="I46" s="182" t="e">
        <f t="shared" si="30"/>
        <v>#DIV/0!</v>
      </c>
      <c r="J46" s="159">
        <v>0</v>
      </c>
      <c r="K46" s="164"/>
      <c r="L46" s="164"/>
      <c r="M46" s="164"/>
      <c r="N46" s="164">
        <f t="shared" si="17"/>
        <v>0</v>
      </c>
      <c r="O46" s="183" t="e">
        <f t="shared" si="31"/>
        <v>#DIV/0!</v>
      </c>
      <c r="P46" s="184"/>
    </row>
    <row r="47" s="132" customFormat="1" ht="23.1" hidden="1" customHeight="1" spans="1:16">
      <c r="A47" s="163" t="s">
        <v>1931</v>
      </c>
      <c r="B47" s="164"/>
      <c r="C47" s="159"/>
      <c r="D47" s="159"/>
      <c r="E47" s="160" t="e">
        <f t="shared" si="32"/>
        <v>#DIV/0!</v>
      </c>
      <c r="F47" s="161" t="e">
        <f t="shared" si="29"/>
        <v>#DIV/0!</v>
      </c>
      <c r="G47" s="159"/>
      <c r="H47" s="162">
        <f t="shared" si="19"/>
        <v>0</v>
      </c>
      <c r="I47" s="182" t="e">
        <f t="shared" si="30"/>
        <v>#DIV/0!</v>
      </c>
      <c r="J47" s="159">
        <v>0</v>
      </c>
      <c r="K47" s="159"/>
      <c r="L47" s="159"/>
      <c r="M47" s="159"/>
      <c r="N47" s="164">
        <f t="shared" si="17"/>
        <v>0</v>
      </c>
      <c r="O47" s="183" t="e">
        <f t="shared" si="31"/>
        <v>#DIV/0!</v>
      </c>
      <c r="P47" s="184"/>
    </row>
    <row r="48" s="132" customFormat="1" ht="23.1" hidden="1" customHeight="1" spans="1:16">
      <c r="A48" s="163" t="s">
        <v>1932</v>
      </c>
      <c r="B48" s="164"/>
      <c r="C48" s="159"/>
      <c r="D48" s="159"/>
      <c r="E48" s="160" t="e">
        <f t="shared" si="32"/>
        <v>#DIV/0!</v>
      </c>
      <c r="F48" s="161" t="e">
        <f t="shared" si="29"/>
        <v>#DIV/0!</v>
      </c>
      <c r="G48" s="159"/>
      <c r="H48" s="162">
        <f t="shared" si="19"/>
        <v>0</v>
      </c>
      <c r="I48" s="182" t="e">
        <f t="shared" si="30"/>
        <v>#DIV/0!</v>
      </c>
      <c r="J48" s="159">
        <v>0</v>
      </c>
      <c r="K48" s="159"/>
      <c r="L48" s="159"/>
      <c r="M48" s="159"/>
      <c r="N48" s="164">
        <f t="shared" si="17"/>
        <v>0</v>
      </c>
      <c r="O48" s="183" t="e">
        <f t="shared" si="31"/>
        <v>#DIV/0!</v>
      </c>
      <c r="P48" s="184"/>
    </row>
    <row r="49" s="132" customFormat="1" ht="28.8" hidden="1" spans="1:16">
      <c r="A49" s="163" t="s">
        <v>1935</v>
      </c>
      <c r="B49" s="164"/>
      <c r="C49" s="159"/>
      <c r="D49" s="159"/>
      <c r="E49" s="160" t="e">
        <f t="shared" si="32"/>
        <v>#DIV/0!</v>
      </c>
      <c r="F49" s="161" t="e">
        <f t="shared" si="29"/>
        <v>#DIV/0!</v>
      </c>
      <c r="G49" s="159"/>
      <c r="H49" s="162">
        <f t="shared" si="19"/>
        <v>0</v>
      </c>
      <c r="I49" s="182" t="e">
        <f t="shared" si="30"/>
        <v>#DIV/0!</v>
      </c>
      <c r="J49" s="159">
        <v>0</v>
      </c>
      <c r="K49" s="159"/>
      <c r="L49" s="159"/>
      <c r="M49" s="159"/>
      <c r="N49" s="164">
        <f t="shared" si="17"/>
        <v>0</v>
      </c>
      <c r="O49" s="183" t="e">
        <f t="shared" si="31"/>
        <v>#DIV/0!</v>
      </c>
      <c r="P49" s="184"/>
    </row>
    <row r="50" s="132" customFormat="1" ht="23.1" hidden="1" customHeight="1" spans="1:16">
      <c r="A50" s="169" t="s">
        <v>1936</v>
      </c>
      <c r="B50" s="164"/>
      <c r="C50" s="159"/>
      <c r="D50" s="159"/>
      <c r="E50" s="160" t="e">
        <f t="shared" si="32"/>
        <v>#DIV/0!</v>
      </c>
      <c r="F50" s="161" t="e">
        <f t="shared" si="29"/>
        <v>#DIV/0!</v>
      </c>
      <c r="G50" s="159"/>
      <c r="H50" s="162">
        <f t="shared" si="19"/>
        <v>0</v>
      </c>
      <c r="I50" s="182" t="e">
        <f t="shared" si="30"/>
        <v>#DIV/0!</v>
      </c>
      <c r="J50" s="159">
        <v>0</v>
      </c>
      <c r="K50" s="159"/>
      <c r="L50" s="159"/>
      <c r="M50" s="159"/>
      <c r="N50" s="164">
        <f t="shared" si="17"/>
        <v>0</v>
      </c>
      <c r="O50" s="183" t="e">
        <f t="shared" si="31"/>
        <v>#DIV/0!</v>
      </c>
      <c r="P50" s="184"/>
    </row>
    <row r="51" s="131" customFormat="1" ht="23.1" customHeight="1" spans="1:16">
      <c r="A51" s="154" t="s">
        <v>1937</v>
      </c>
      <c r="B51" s="165">
        <f t="shared" ref="B51:G51" si="33">SUM(B52:B53)</f>
        <v>0</v>
      </c>
      <c r="C51" s="165">
        <f t="shared" si="33"/>
        <v>471</v>
      </c>
      <c r="D51" s="165">
        <f t="shared" si="33"/>
        <v>426</v>
      </c>
      <c r="E51" s="156"/>
      <c r="F51" s="157">
        <f t="shared" si="29"/>
        <v>0.904458598726115</v>
      </c>
      <c r="G51" s="165">
        <f t="shared" si="33"/>
        <v>725</v>
      </c>
      <c r="H51" s="155">
        <f t="shared" si="19"/>
        <v>-299</v>
      </c>
      <c r="I51" s="179">
        <f t="shared" si="30"/>
        <v>-0.412413793103448</v>
      </c>
      <c r="J51" s="165">
        <f t="shared" ref="J51:J67" si="34">SUM(K51:M51)</f>
        <v>60</v>
      </c>
      <c r="K51" s="165">
        <f t="shared" ref="K51:M51" si="35">SUM(K52:K53)</f>
        <v>0</v>
      </c>
      <c r="L51" s="165">
        <f t="shared" si="35"/>
        <v>60</v>
      </c>
      <c r="M51" s="165">
        <f t="shared" si="35"/>
        <v>0</v>
      </c>
      <c r="N51" s="165">
        <f t="shared" si="17"/>
        <v>-366</v>
      </c>
      <c r="O51" s="180">
        <f t="shared" si="31"/>
        <v>-0.859154929577465</v>
      </c>
      <c r="P51" s="181"/>
    </row>
    <row r="52" s="132" customFormat="1" ht="28" customHeight="1" spans="1:16">
      <c r="A52" s="163" t="s">
        <v>1938</v>
      </c>
      <c r="B52" s="159"/>
      <c r="C52" s="159">
        <f>426+45</f>
        <v>471</v>
      </c>
      <c r="D52" s="159">
        <v>426</v>
      </c>
      <c r="E52" s="160"/>
      <c r="F52" s="161">
        <f t="shared" si="29"/>
        <v>0.904458598726115</v>
      </c>
      <c r="G52" s="159">
        <v>604</v>
      </c>
      <c r="H52" s="162">
        <f t="shared" si="19"/>
        <v>-178</v>
      </c>
      <c r="I52" s="182">
        <f t="shared" si="30"/>
        <v>-0.294701986754967</v>
      </c>
      <c r="J52" s="159">
        <f>SUM(K52:M52)</f>
        <v>60</v>
      </c>
      <c r="K52" s="159"/>
      <c r="L52" s="159">
        <v>60</v>
      </c>
      <c r="M52" s="159"/>
      <c r="N52" s="164">
        <f>J52-D52</f>
        <v>-366</v>
      </c>
      <c r="O52" s="183">
        <f>N52/D52</f>
        <v>-0.859154929577465</v>
      </c>
      <c r="P52" s="184"/>
    </row>
    <row r="53" s="132" customFormat="1" ht="26" customHeight="1" spans="1:16">
      <c r="A53" s="163" t="s">
        <v>1939</v>
      </c>
      <c r="B53" s="159"/>
      <c r="C53" s="159">
        <v>0</v>
      </c>
      <c r="D53" s="159">
        <v>0</v>
      </c>
      <c r="E53" s="160"/>
      <c r="F53" s="161"/>
      <c r="G53" s="159">
        <v>121</v>
      </c>
      <c r="H53" s="162">
        <f t="shared" si="19"/>
        <v>-121</v>
      </c>
      <c r="I53" s="182"/>
      <c r="J53" s="159">
        <f t="shared" si="34"/>
        <v>0</v>
      </c>
      <c r="K53" s="159"/>
      <c r="L53" s="159"/>
      <c r="M53" s="159"/>
      <c r="N53" s="164">
        <f t="shared" si="17"/>
        <v>0</v>
      </c>
      <c r="O53" s="183"/>
      <c r="P53" s="184"/>
    </row>
    <row r="54" s="132" customFormat="1" ht="33" hidden="1" customHeight="1" spans="1:16">
      <c r="A54" s="163" t="s">
        <v>1940</v>
      </c>
      <c r="B54" s="164"/>
      <c r="C54" s="164"/>
      <c r="D54" s="164"/>
      <c r="E54" s="160" t="e">
        <f t="shared" ref="E54:E61" si="36">D54/B54</f>
        <v>#DIV/0!</v>
      </c>
      <c r="F54" s="161" t="e">
        <f t="shared" ref="F54:F61" si="37">D54/C54</f>
        <v>#DIV/0!</v>
      </c>
      <c r="G54" s="164"/>
      <c r="H54" s="162">
        <f t="shared" si="19"/>
        <v>0</v>
      </c>
      <c r="I54" s="182" t="e">
        <f t="shared" ref="I54:I61" si="38">H54/G54</f>
        <v>#DIV/0!</v>
      </c>
      <c r="J54" s="159">
        <f t="shared" si="34"/>
        <v>0</v>
      </c>
      <c r="K54" s="164"/>
      <c r="L54" s="164"/>
      <c r="M54" s="164"/>
      <c r="N54" s="164">
        <f t="shared" si="17"/>
        <v>0</v>
      </c>
      <c r="O54" s="183" t="e">
        <f t="shared" ref="O54:O61" si="39">N54/D54</f>
        <v>#DIV/0!</v>
      </c>
      <c r="P54" s="184"/>
    </row>
    <row r="55" s="132" customFormat="1" ht="18.95" hidden="1" customHeight="1" spans="1:16">
      <c r="A55" s="163" t="s">
        <v>1915</v>
      </c>
      <c r="B55" s="164"/>
      <c r="C55" s="164"/>
      <c r="D55" s="164"/>
      <c r="E55" s="160" t="e">
        <f t="shared" si="36"/>
        <v>#DIV/0!</v>
      </c>
      <c r="F55" s="161" t="e">
        <f t="shared" si="37"/>
        <v>#DIV/0!</v>
      </c>
      <c r="G55" s="164"/>
      <c r="H55" s="162">
        <f t="shared" si="19"/>
        <v>0</v>
      </c>
      <c r="I55" s="182" t="e">
        <f t="shared" si="38"/>
        <v>#DIV/0!</v>
      </c>
      <c r="J55" s="159">
        <f t="shared" si="34"/>
        <v>0</v>
      </c>
      <c r="K55" s="164"/>
      <c r="L55" s="164"/>
      <c r="M55" s="164"/>
      <c r="N55" s="164">
        <f t="shared" si="17"/>
        <v>0</v>
      </c>
      <c r="O55" s="183" t="e">
        <f t="shared" si="39"/>
        <v>#DIV/0!</v>
      </c>
      <c r="P55" s="184"/>
    </row>
    <row r="56" s="132" customFormat="1" ht="18.95" hidden="1" customHeight="1" spans="1:16">
      <c r="A56" s="163" t="s">
        <v>1941</v>
      </c>
      <c r="B56" s="164"/>
      <c r="C56" s="164"/>
      <c r="D56" s="164"/>
      <c r="E56" s="160" t="e">
        <f t="shared" si="36"/>
        <v>#DIV/0!</v>
      </c>
      <c r="F56" s="161" t="e">
        <f t="shared" si="37"/>
        <v>#DIV/0!</v>
      </c>
      <c r="G56" s="164"/>
      <c r="H56" s="162">
        <f t="shared" si="19"/>
        <v>0</v>
      </c>
      <c r="I56" s="182" t="e">
        <f t="shared" si="38"/>
        <v>#DIV/0!</v>
      </c>
      <c r="J56" s="159">
        <f t="shared" si="34"/>
        <v>0</v>
      </c>
      <c r="K56" s="164"/>
      <c r="L56" s="164"/>
      <c r="M56" s="164"/>
      <c r="N56" s="164">
        <f t="shared" si="17"/>
        <v>0</v>
      </c>
      <c r="O56" s="183" t="e">
        <f t="shared" si="39"/>
        <v>#DIV/0!</v>
      </c>
      <c r="P56" s="184"/>
    </row>
    <row r="57" s="132" customFormat="1" ht="18.95" hidden="1" customHeight="1" spans="1:16">
      <c r="A57" s="163" t="s">
        <v>1942</v>
      </c>
      <c r="B57" s="164"/>
      <c r="C57" s="164"/>
      <c r="D57" s="164"/>
      <c r="E57" s="160" t="e">
        <f t="shared" si="36"/>
        <v>#DIV/0!</v>
      </c>
      <c r="F57" s="161" t="e">
        <f t="shared" si="37"/>
        <v>#DIV/0!</v>
      </c>
      <c r="G57" s="164"/>
      <c r="H57" s="162">
        <f t="shared" si="19"/>
        <v>0</v>
      </c>
      <c r="I57" s="182" t="e">
        <f t="shared" si="38"/>
        <v>#DIV/0!</v>
      </c>
      <c r="J57" s="159">
        <f t="shared" si="34"/>
        <v>0</v>
      </c>
      <c r="K57" s="164"/>
      <c r="L57" s="164"/>
      <c r="M57" s="164"/>
      <c r="N57" s="164">
        <f t="shared" si="17"/>
        <v>0</v>
      </c>
      <c r="O57" s="183" t="e">
        <f t="shared" si="39"/>
        <v>#DIV/0!</v>
      </c>
      <c r="P57" s="184"/>
    </row>
    <row r="58" s="132" customFormat="1" ht="18.95" hidden="1" customHeight="1" spans="1:16">
      <c r="A58" s="163" t="s">
        <v>1943</v>
      </c>
      <c r="B58" s="164"/>
      <c r="C58" s="159"/>
      <c r="D58" s="159"/>
      <c r="E58" s="160" t="e">
        <f t="shared" si="36"/>
        <v>#DIV/0!</v>
      </c>
      <c r="F58" s="161" t="e">
        <f t="shared" si="37"/>
        <v>#DIV/0!</v>
      </c>
      <c r="G58" s="159"/>
      <c r="H58" s="162">
        <f t="shared" si="19"/>
        <v>0</v>
      </c>
      <c r="I58" s="182" t="e">
        <f t="shared" si="38"/>
        <v>#DIV/0!</v>
      </c>
      <c r="J58" s="159">
        <f t="shared" si="34"/>
        <v>0</v>
      </c>
      <c r="K58" s="159"/>
      <c r="L58" s="159"/>
      <c r="M58" s="159"/>
      <c r="N58" s="164">
        <f t="shared" si="17"/>
        <v>0</v>
      </c>
      <c r="O58" s="183" t="e">
        <f t="shared" si="39"/>
        <v>#DIV/0!</v>
      </c>
      <c r="P58" s="184"/>
    </row>
    <row r="59" s="132" customFormat="1" ht="18.95" hidden="1" customHeight="1" spans="1:16">
      <c r="A59" s="163" t="s">
        <v>1944</v>
      </c>
      <c r="B59" s="164"/>
      <c r="C59" s="159"/>
      <c r="D59" s="159"/>
      <c r="E59" s="160" t="e">
        <f t="shared" si="36"/>
        <v>#DIV/0!</v>
      </c>
      <c r="F59" s="161" t="e">
        <f t="shared" si="37"/>
        <v>#DIV/0!</v>
      </c>
      <c r="G59" s="159"/>
      <c r="H59" s="162">
        <f t="shared" si="19"/>
        <v>0</v>
      </c>
      <c r="I59" s="182" t="e">
        <f t="shared" si="38"/>
        <v>#DIV/0!</v>
      </c>
      <c r="J59" s="159">
        <f t="shared" si="34"/>
        <v>0</v>
      </c>
      <c r="K59" s="159"/>
      <c r="L59" s="159"/>
      <c r="M59" s="159"/>
      <c r="N59" s="164">
        <f t="shared" si="17"/>
        <v>0</v>
      </c>
      <c r="O59" s="183" t="e">
        <f t="shared" si="39"/>
        <v>#DIV/0!</v>
      </c>
      <c r="P59" s="184"/>
    </row>
    <row r="60" s="132" customFormat="1" ht="18.95" hidden="1" customHeight="1" spans="1:16">
      <c r="A60" s="163" t="s">
        <v>1945</v>
      </c>
      <c r="B60" s="164"/>
      <c r="C60" s="159"/>
      <c r="D60" s="159"/>
      <c r="E60" s="160" t="e">
        <f t="shared" si="36"/>
        <v>#DIV/0!</v>
      </c>
      <c r="F60" s="161" t="e">
        <f t="shared" si="37"/>
        <v>#DIV/0!</v>
      </c>
      <c r="G60" s="159"/>
      <c r="H60" s="162">
        <f t="shared" si="19"/>
        <v>0</v>
      </c>
      <c r="I60" s="182" t="e">
        <f t="shared" si="38"/>
        <v>#DIV/0!</v>
      </c>
      <c r="J60" s="159">
        <f t="shared" si="34"/>
        <v>0</v>
      </c>
      <c r="K60" s="159"/>
      <c r="L60" s="159"/>
      <c r="M60" s="159"/>
      <c r="N60" s="164">
        <f t="shared" si="17"/>
        <v>0</v>
      </c>
      <c r="O60" s="183" t="e">
        <f t="shared" si="39"/>
        <v>#DIV/0!</v>
      </c>
      <c r="P60" s="184"/>
    </row>
    <row r="61" s="132" customFormat="1" ht="18.95" hidden="1" customHeight="1" spans="1:16">
      <c r="A61" s="163" t="s">
        <v>1946</v>
      </c>
      <c r="B61" s="164"/>
      <c r="C61" s="159"/>
      <c r="D61" s="159"/>
      <c r="E61" s="160" t="e">
        <f t="shared" si="36"/>
        <v>#DIV/0!</v>
      </c>
      <c r="F61" s="161" t="e">
        <f t="shared" si="37"/>
        <v>#DIV/0!</v>
      </c>
      <c r="G61" s="159"/>
      <c r="H61" s="162">
        <f t="shared" si="19"/>
        <v>0</v>
      </c>
      <c r="I61" s="182" t="e">
        <f t="shared" si="38"/>
        <v>#DIV/0!</v>
      </c>
      <c r="J61" s="159">
        <f t="shared" si="34"/>
        <v>0</v>
      </c>
      <c r="K61" s="159"/>
      <c r="L61" s="159"/>
      <c r="M61" s="159"/>
      <c r="N61" s="164">
        <f t="shared" si="17"/>
        <v>0</v>
      </c>
      <c r="O61" s="183" t="e">
        <f t="shared" si="39"/>
        <v>#DIV/0!</v>
      </c>
      <c r="P61" s="184"/>
    </row>
    <row r="62" s="131" customFormat="1" ht="18.95" hidden="1" customHeight="1" spans="1:17">
      <c r="A62" s="170" t="s">
        <v>1947</v>
      </c>
      <c r="B62" s="164"/>
      <c r="C62" s="164">
        <v>0</v>
      </c>
      <c r="D62" s="164">
        <v>0</v>
      </c>
      <c r="E62" s="160"/>
      <c r="F62" s="161"/>
      <c r="G62" s="164">
        <v>0</v>
      </c>
      <c r="H62" s="162">
        <f t="shared" si="19"/>
        <v>0</v>
      </c>
      <c r="I62" s="182"/>
      <c r="J62" s="159">
        <f t="shared" si="34"/>
        <v>0</v>
      </c>
      <c r="K62" s="164"/>
      <c r="L62" s="164"/>
      <c r="M62" s="164"/>
      <c r="N62" s="164">
        <f t="shared" si="17"/>
        <v>0</v>
      </c>
      <c r="O62" s="183"/>
      <c r="P62" s="184"/>
      <c r="Q62" s="132"/>
    </row>
    <row r="63" s="132" customFormat="1" ht="45" hidden="1" customHeight="1" spans="1:16">
      <c r="A63" s="163" t="s">
        <v>1948</v>
      </c>
      <c r="B63" s="164"/>
      <c r="C63" s="164"/>
      <c r="D63" s="164"/>
      <c r="E63" s="160" t="e">
        <f t="shared" ref="E63:E66" si="40">D63/B63</f>
        <v>#DIV/0!</v>
      </c>
      <c r="F63" s="161" t="e">
        <f t="shared" ref="F63:F66" si="41">D63/C63</f>
        <v>#DIV/0!</v>
      </c>
      <c r="G63" s="164"/>
      <c r="H63" s="162">
        <f t="shared" si="19"/>
        <v>0</v>
      </c>
      <c r="I63" s="182" t="e">
        <f t="shared" ref="I63:I66" si="42">H63/G63</f>
        <v>#DIV/0!</v>
      </c>
      <c r="J63" s="159">
        <f t="shared" si="34"/>
        <v>0</v>
      </c>
      <c r="K63" s="164"/>
      <c r="L63" s="164"/>
      <c r="M63" s="164"/>
      <c r="N63" s="164">
        <f t="shared" si="17"/>
        <v>0</v>
      </c>
      <c r="O63" s="183" t="e">
        <f t="shared" ref="O63:O66" si="43">N63/D63</f>
        <v>#DIV/0!</v>
      </c>
      <c r="P63" s="184"/>
    </row>
    <row r="64" s="132" customFormat="1" ht="18.95" hidden="1" customHeight="1" spans="1:16">
      <c r="A64" s="163" t="s">
        <v>1949</v>
      </c>
      <c r="B64" s="164"/>
      <c r="C64" s="159"/>
      <c r="D64" s="159"/>
      <c r="E64" s="160" t="e">
        <f t="shared" si="40"/>
        <v>#DIV/0!</v>
      </c>
      <c r="F64" s="161" t="e">
        <f t="shared" si="41"/>
        <v>#DIV/0!</v>
      </c>
      <c r="G64" s="159"/>
      <c r="H64" s="162">
        <f t="shared" si="19"/>
        <v>0</v>
      </c>
      <c r="I64" s="182" t="e">
        <f t="shared" si="42"/>
        <v>#DIV/0!</v>
      </c>
      <c r="J64" s="159">
        <f t="shared" si="34"/>
        <v>0</v>
      </c>
      <c r="K64" s="159"/>
      <c r="L64" s="159"/>
      <c r="M64" s="159"/>
      <c r="N64" s="164">
        <f t="shared" si="17"/>
        <v>0</v>
      </c>
      <c r="O64" s="183" t="e">
        <f t="shared" si="43"/>
        <v>#DIV/0!</v>
      </c>
      <c r="P64" s="184"/>
    </row>
    <row r="65" s="132" customFormat="1" ht="28.8" hidden="1" spans="1:16">
      <c r="A65" s="163" t="s">
        <v>1950</v>
      </c>
      <c r="B65" s="164"/>
      <c r="C65" s="166"/>
      <c r="D65" s="166"/>
      <c r="E65" s="160" t="e">
        <f t="shared" si="40"/>
        <v>#DIV/0!</v>
      </c>
      <c r="F65" s="161" t="e">
        <f t="shared" si="41"/>
        <v>#DIV/0!</v>
      </c>
      <c r="G65" s="166"/>
      <c r="H65" s="162">
        <f t="shared" si="19"/>
        <v>0</v>
      </c>
      <c r="I65" s="182" t="e">
        <f t="shared" si="42"/>
        <v>#DIV/0!</v>
      </c>
      <c r="J65" s="159">
        <f t="shared" si="34"/>
        <v>0</v>
      </c>
      <c r="K65" s="166"/>
      <c r="L65" s="166"/>
      <c r="M65" s="166"/>
      <c r="N65" s="164">
        <f t="shared" si="17"/>
        <v>0</v>
      </c>
      <c r="O65" s="183" t="e">
        <f t="shared" si="43"/>
        <v>#DIV/0!</v>
      </c>
      <c r="P65" s="184"/>
    </row>
    <row r="66" s="132" customFormat="1" ht="11" hidden="1" customHeight="1" spans="1:16">
      <c r="A66" s="163" t="s">
        <v>1951</v>
      </c>
      <c r="B66" s="164"/>
      <c r="C66" s="159"/>
      <c r="D66" s="159"/>
      <c r="E66" s="160" t="e">
        <f t="shared" si="40"/>
        <v>#DIV/0!</v>
      </c>
      <c r="F66" s="161" t="e">
        <f t="shared" si="41"/>
        <v>#DIV/0!</v>
      </c>
      <c r="G66" s="159"/>
      <c r="H66" s="162">
        <f t="shared" si="19"/>
        <v>0</v>
      </c>
      <c r="I66" s="182" t="e">
        <f t="shared" si="42"/>
        <v>#DIV/0!</v>
      </c>
      <c r="J66" s="159">
        <f t="shared" si="34"/>
        <v>0</v>
      </c>
      <c r="K66" s="159"/>
      <c r="L66" s="159"/>
      <c r="M66" s="159"/>
      <c r="N66" s="164">
        <f t="shared" si="17"/>
        <v>0</v>
      </c>
      <c r="O66" s="183" t="e">
        <f t="shared" si="43"/>
        <v>#DIV/0!</v>
      </c>
      <c r="P66" s="184"/>
    </row>
    <row r="67" s="131" customFormat="1" ht="26.1" hidden="1" customHeight="1" spans="1:17">
      <c r="A67" s="170" t="s">
        <v>1952</v>
      </c>
      <c r="B67" s="164"/>
      <c r="C67" s="164">
        <v>0</v>
      </c>
      <c r="D67" s="164">
        <v>0</v>
      </c>
      <c r="E67" s="160"/>
      <c r="F67" s="161"/>
      <c r="G67" s="164">
        <v>0</v>
      </c>
      <c r="H67" s="162">
        <f t="shared" si="19"/>
        <v>0</v>
      </c>
      <c r="I67" s="182"/>
      <c r="J67" s="159">
        <f t="shared" si="34"/>
        <v>0</v>
      </c>
      <c r="K67" s="164"/>
      <c r="L67" s="164"/>
      <c r="M67" s="164"/>
      <c r="N67" s="164">
        <f t="shared" si="17"/>
        <v>0</v>
      </c>
      <c r="O67" s="183"/>
      <c r="P67" s="184"/>
      <c r="Q67" s="132"/>
    </row>
    <row r="68" s="131" customFormat="1" ht="26.1" customHeight="1" spans="1:17">
      <c r="A68" s="170" t="s">
        <v>1953</v>
      </c>
      <c r="B68" s="162">
        <f>SUM(B69:B76)</f>
        <v>344.86</v>
      </c>
      <c r="C68" s="162">
        <f>SUM(C69:C70)</f>
        <v>13828</v>
      </c>
      <c r="D68" s="162">
        <f>SUM(D69:D70)</f>
        <v>13745</v>
      </c>
      <c r="E68" s="160">
        <f t="shared" ref="E68:E70" si="44">D68/B68</f>
        <v>39.8567534651743</v>
      </c>
      <c r="F68" s="161">
        <f t="shared" ref="F68:F86" si="45">D68/C68</f>
        <v>0.993997685854787</v>
      </c>
      <c r="G68" s="162">
        <f>G69+G70</f>
        <v>652</v>
      </c>
      <c r="H68" s="162">
        <f t="shared" si="19"/>
        <v>13093</v>
      </c>
      <c r="I68" s="183">
        <f t="shared" ref="I68:I71" si="46">H68/G68</f>
        <v>20.0812883435583</v>
      </c>
      <c r="J68" s="162">
        <f t="shared" ref="J68:M68" si="47">SUM(J69:J76)</f>
        <v>535.85</v>
      </c>
      <c r="K68" s="162">
        <f t="shared" si="47"/>
        <v>80</v>
      </c>
      <c r="L68" s="162">
        <f t="shared" si="47"/>
        <v>433.85</v>
      </c>
      <c r="M68" s="162">
        <f t="shared" si="47"/>
        <v>22</v>
      </c>
      <c r="N68" s="164">
        <f t="shared" si="17"/>
        <v>-13209.15</v>
      </c>
      <c r="O68" s="183">
        <f t="shared" ref="O68:O71" si="48">N68/D68</f>
        <v>-0.961014914514369</v>
      </c>
      <c r="P68" s="184"/>
      <c r="Q68" s="132"/>
    </row>
    <row r="69" s="132" customFormat="1" ht="26.1" customHeight="1" spans="1:16">
      <c r="A69" s="185" t="s">
        <v>1954</v>
      </c>
      <c r="B69" s="164">
        <v>98</v>
      </c>
      <c r="C69" s="164">
        <f>13300+83</f>
        <v>13383</v>
      </c>
      <c r="D69" s="164">
        <v>13300</v>
      </c>
      <c r="E69" s="160">
        <f t="shared" si="44"/>
        <v>135.714285714286</v>
      </c>
      <c r="F69" s="161">
        <f t="shared" si="45"/>
        <v>0.99379810206979</v>
      </c>
      <c r="G69" s="164">
        <v>0</v>
      </c>
      <c r="H69" s="162">
        <f t="shared" si="19"/>
        <v>13300</v>
      </c>
      <c r="I69" s="183"/>
      <c r="J69" s="159">
        <f t="shared" ref="J69:J87" si="49">SUM(K69:M69)</f>
        <v>102</v>
      </c>
      <c r="K69" s="164">
        <v>80</v>
      </c>
      <c r="L69" s="164"/>
      <c r="M69" s="164">
        <v>22</v>
      </c>
      <c r="N69" s="164">
        <f t="shared" si="17"/>
        <v>-13198</v>
      </c>
      <c r="O69" s="183">
        <f t="shared" si="48"/>
        <v>-0.992330827067669</v>
      </c>
      <c r="P69" s="184"/>
    </row>
    <row r="70" s="132" customFormat="1" ht="26.1" customHeight="1" spans="1:16">
      <c r="A70" s="185" t="s">
        <v>1955</v>
      </c>
      <c r="B70" s="164">
        <v>246.86</v>
      </c>
      <c r="C70" s="164">
        <v>445</v>
      </c>
      <c r="D70" s="164">
        <v>445</v>
      </c>
      <c r="E70" s="160">
        <f t="shared" si="44"/>
        <v>1.80264117313457</v>
      </c>
      <c r="F70" s="161">
        <f t="shared" si="45"/>
        <v>1</v>
      </c>
      <c r="G70" s="164">
        <f>SUM(G71:G76)</f>
        <v>652</v>
      </c>
      <c r="H70" s="162">
        <f t="shared" si="19"/>
        <v>-207</v>
      </c>
      <c r="I70" s="183">
        <f t="shared" si="46"/>
        <v>-0.317484662576687</v>
      </c>
      <c r="J70" s="159">
        <f t="shared" si="49"/>
        <v>0</v>
      </c>
      <c r="K70" s="164"/>
      <c r="L70" s="164"/>
      <c r="M70" s="164"/>
      <c r="N70" s="164">
        <f t="shared" si="17"/>
        <v>-445</v>
      </c>
      <c r="O70" s="183">
        <f t="shared" si="48"/>
        <v>-1</v>
      </c>
      <c r="P70" s="184"/>
    </row>
    <row r="71" s="132" customFormat="1" ht="33" customHeight="1" spans="1:16">
      <c r="A71" s="185" t="s">
        <v>1956</v>
      </c>
      <c r="B71" s="159"/>
      <c r="C71" s="159">
        <v>74</v>
      </c>
      <c r="D71" s="159">
        <v>74</v>
      </c>
      <c r="E71" s="160"/>
      <c r="F71" s="161">
        <f t="shared" si="45"/>
        <v>1</v>
      </c>
      <c r="G71" s="159">
        <v>175</v>
      </c>
      <c r="H71" s="162">
        <f t="shared" si="19"/>
        <v>-101</v>
      </c>
      <c r="I71" s="183">
        <f t="shared" si="46"/>
        <v>-0.577142857142857</v>
      </c>
      <c r="J71" s="159">
        <f t="shared" si="49"/>
        <v>73.15</v>
      </c>
      <c r="K71" s="159"/>
      <c r="L71" s="159">
        <v>73.15</v>
      </c>
      <c r="M71" s="159"/>
      <c r="N71" s="164">
        <f t="shared" si="17"/>
        <v>-0.849999999999994</v>
      </c>
      <c r="O71" s="183">
        <f t="shared" si="48"/>
        <v>-0.0114864864864864</v>
      </c>
      <c r="P71" s="184"/>
    </row>
    <row r="72" s="132" customFormat="1" ht="33" customHeight="1" spans="1:16">
      <c r="A72" s="185" t="s">
        <v>1957</v>
      </c>
      <c r="B72" s="159"/>
      <c r="C72" s="159">
        <v>20</v>
      </c>
      <c r="D72" s="159">
        <v>20</v>
      </c>
      <c r="E72" s="160"/>
      <c r="F72" s="161">
        <f t="shared" si="45"/>
        <v>1</v>
      </c>
      <c r="G72" s="159">
        <v>134</v>
      </c>
      <c r="H72" s="162">
        <f t="shared" si="19"/>
        <v>-114</v>
      </c>
      <c r="I72" s="183"/>
      <c r="J72" s="159">
        <f t="shared" si="49"/>
        <v>9.7</v>
      </c>
      <c r="K72" s="159"/>
      <c r="L72" s="159">
        <v>9.7</v>
      </c>
      <c r="M72" s="159"/>
      <c r="N72" s="164"/>
      <c r="O72" s="183"/>
      <c r="P72" s="184"/>
    </row>
    <row r="73" s="132" customFormat="1" ht="33" customHeight="1" spans="1:16">
      <c r="A73" s="185" t="s">
        <v>1958</v>
      </c>
      <c r="B73" s="159"/>
      <c r="C73" s="159">
        <v>100</v>
      </c>
      <c r="D73" s="159">
        <v>100</v>
      </c>
      <c r="E73" s="160"/>
      <c r="F73" s="161">
        <f t="shared" si="45"/>
        <v>1</v>
      </c>
      <c r="G73" s="159">
        <v>24</v>
      </c>
      <c r="H73" s="162">
        <f t="shared" si="19"/>
        <v>76</v>
      </c>
      <c r="I73" s="183">
        <f t="shared" ref="I73:I86" si="50">H73/G73</f>
        <v>3.16666666666667</v>
      </c>
      <c r="J73" s="159">
        <f t="shared" si="49"/>
        <v>100</v>
      </c>
      <c r="K73" s="159"/>
      <c r="L73" s="159">
        <v>100</v>
      </c>
      <c r="M73" s="159"/>
      <c r="N73" s="164">
        <f t="shared" ref="N73:N86" si="51">J73-D73</f>
        <v>0</v>
      </c>
      <c r="O73" s="183">
        <f t="shared" ref="O73:O86" si="52">N73/D73</f>
        <v>0</v>
      </c>
      <c r="P73" s="184"/>
    </row>
    <row r="74" s="132" customFormat="1" ht="33" customHeight="1" spans="1:16">
      <c r="A74" s="185" t="s">
        <v>1959</v>
      </c>
      <c r="B74" s="159"/>
      <c r="C74" s="159">
        <v>168</v>
      </c>
      <c r="D74" s="159">
        <v>168</v>
      </c>
      <c r="E74" s="160"/>
      <c r="F74" s="161">
        <f t="shared" si="45"/>
        <v>1</v>
      </c>
      <c r="G74" s="159">
        <v>72</v>
      </c>
      <c r="H74" s="162">
        <f t="shared" si="19"/>
        <v>96</v>
      </c>
      <c r="I74" s="183">
        <f t="shared" si="50"/>
        <v>1.33333333333333</v>
      </c>
      <c r="J74" s="159">
        <f t="shared" si="49"/>
        <v>167.74</v>
      </c>
      <c r="K74" s="159"/>
      <c r="L74" s="159">
        <v>167.74</v>
      </c>
      <c r="M74" s="159"/>
      <c r="N74" s="164">
        <f t="shared" si="51"/>
        <v>-0.259999999999991</v>
      </c>
      <c r="O74" s="183">
        <f t="shared" si="52"/>
        <v>-0.00154761904761899</v>
      </c>
      <c r="P74" s="184"/>
    </row>
    <row r="75" s="132" customFormat="1" ht="33" customHeight="1" spans="1:16">
      <c r="A75" s="185" t="s">
        <v>1960</v>
      </c>
      <c r="B75" s="159"/>
      <c r="C75" s="159">
        <v>0</v>
      </c>
      <c r="D75" s="159">
        <v>0</v>
      </c>
      <c r="E75" s="160"/>
      <c r="F75" s="161"/>
      <c r="G75" s="159">
        <v>182</v>
      </c>
      <c r="H75" s="162">
        <f t="shared" si="19"/>
        <v>-182</v>
      </c>
      <c r="I75" s="183"/>
      <c r="J75" s="159">
        <f t="shared" si="49"/>
        <v>0</v>
      </c>
      <c r="K75" s="159"/>
      <c r="L75" s="159"/>
      <c r="M75" s="159"/>
      <c r="N75" s="164"/>
      <c r="O75" s="183"/>
      <c r="P75" s="184"/>
    </row>
    <row r="76" s="132" customFormat="1" ht="33" customHeight="1" spans="1:16">
      <c r="A76" s="185" t="s">
        <v>1961</v>
      </c>
      <c r="B76" s="159"/>
      <c r="C76" s="159">
        <v>83</v>
      </c>
      <c r="D76" s="159">
        <v>83</v>
      </c>
      <c r="E76" s="160"/>
      <c r="F76" s="161">
        <f t="shared" si="45"/>
        <v>1</v>
      </c>
      <c r="G76" s="159">
        <v>65</v>
      </c>
      <c r="H76" s="162">
        <f t="shared" si="19"/>
        <v>18</v>
      </c>
      <c r="I76" s="182">
        <f t="shared" si="50"/>
        <v>0.276923076923077</v>
      </c>
      <c r="J76" s="159">
        <f t="shared" si="49"/>
        <v>83.26</v>
      </c>
      <c r="K76" s="159"/>
      <c r="L76" s="159">
        <v>83.26</v>
      </c>
      <c r="M76" s="159"/>
      <c r="N76" s="164">
        <f t="shared" si="51"/>
        <v>0.260000000000005</v>
      </c>
      <c r="O76" s="183">
        <f t="shared" si="52"/>
        <v>0.00313253012048199</v>
      </c>
      <c r="P76" s="184"/>
    </row>
    <row r="77" s="131" customFormat="1" ht="21.95" customHeight="1" spans="1:17">
      <c r="A77" s="186" t="s">
        <v>1962</v>
      </c>
      <c r="B77" s="166">
        <f t="shared" ref="B77:G77" si="53">B78</f>
        <v>0</v>
      </c>
      <c r="C77" s="166">
        <f t="shared" si="53"/>
        <v>245</v>
      </c>
      <c r="D77" s="166">
        <f t="shared" si="53"/>
        <v>245</v>
      </c>
      <c r="E77" s="160"/>
      <c r="F77" s="161">
        <f t="shared" si="45"/>
        <v>1</v>
      </c>
      <c r="G77" s="166">
        <f t="shared" si="53"/>
        <v>539</v>
      </c>
      <c r="H77" s="162">
        <f t="shared" si="19"/>
        <v>-294</v>
      </c>
      <c r="I77" s="182">
        <f t="shared" si="50"/>
        <v>-0.545454545454545</v>
      </c>
      <c r="J77" s="159">
        <f t="shared" si="49"/>
        <v>0</v>
      </c>
      <c r="K77" s="159">
        <f t="shared" ref="K77:M77" si="54">K78</f>
        <v>0</v>
      </c>
      <c r="L77" s="159">
        <f t="shared" si="54"/>
        <v>0</v>
      </c>
      <c r="M77" s="159">
        <f t="shared" si="54"/>
        <v>0</v>
      </c>
      <c r="N77" s="164">
        <f t="shared" si="51"/>
        <v>-245</v>
      </c>
      <c r="O77" s="183">
        <f t="shared" si="52"/>
        <v>-1</v>
      </c>
      <c r="P77" s="184"/>
      <c r="Q77" s="132"/>
    </row>
    <row r="78" s="132" customFormat="1" ht="30" customHeight="1" spans="1:16">
      <c r="A78" s="163" t="s">
        <v>1963</v>
      </c>
      <c r="B78" s="164"/>
      <c r="C78" s="164">
        <v>245</v>
      </c>
      <c r="D78" s="164">
        <v>245</v>
      </c>
      <c r="E78" s="160"/>
      <c r="F78" s="161">
        <f t="shared" si="45"/>
        <v>1</v>
      </c>
      <c r="G78" s="164">
        <v>539</v>
      </c>
      <c r="H78" s="162">
        <f t="shared" si="19"/>
        <v>-294</v>
      </c>
      <c r="I78" s="182">
        <f t="shared" si="50"/>
        <v>-0.545454545454545</v>
      </c>
      <c r="J78" s="159">
        <f t="shared" si="49"/>
        <v>0</v>
      </c>
      <c r="K78" s="164"/>
      <c r="L78" s="164"/>
      <c r="M78" s="164"/>
      <c r="N78" s="164">
        <f t="shared" si="51"/>
        <v>-245</v>
      </c>
      <c r="O78" s="183">
        <f t="shared" si="52"/>
        <v>-1</v>
      </c>
      <c r="P78" s="184"/>
    </row>
    <row r="79" s="131" customFormat="1" ht="21.95" customHeight="1" spans="1:17">
      <c r="A79" s="186" t="s">
        <v>1964</v>
      </c>
      <c r="B79" s="187">
        <f t="shared" ref="B79:G79" si="55">B80</f>
        <v>0</v>
      </c>
      <c r="C79" s="187">
        <f t="shared" si="55"/>
        <v>20</v>
      </c>
      <c r="D79" s="187">
        <f t="shared" si="55"/>
        <v>20</v>
      </c>
      <c r="E79" s="160"/>
      <c r="F79" s="161">
        <f t="shared" si="45"/>
        <v>1</v>
      </c>
      <c r="G79" s="187">
        <f t="shared" si="55"/>
        <v>6</v>
      </c>
      <c r="H79" s="162">
        <f t="shared" si="19"/>
        <v>14</v>
      </c>
      <c r="I79" s="182">
        <f t="shared" si="50"/>
        <v>2.33333333333333</v>
      </c>
      <c r="J79" s="159">
        <f t="shared" si="49"/>
        <v>0</v>
      </c>
      <c r="K79" s="159">
        <f t="shared" ref="K79:M79" si="56">K80</f>
        <v>0</v>
      </c>
      <c r="L79" s="159">
        <f t="shared" si="56"/>
        <v>0</v>
      </c>
      <c r="M79" s="159">
        <f t="shared" si="56"/>
        <v>0</v>
      </c>
      <c r="N79" s="164">
        <f t="shared" si="51"/>
        <v>-20</v>
      </c>
      <c r="O79" s="183">
        <f t="shared" si="52"/>
        <v>-1</v>
      </c>
      <c r="P79" s="184"/>
      <c r="Q79" s="132"/>
    </row>
    <row r="80" s="132" customFormat="1" ht="32" customHeight="1" spans="1:16">
      <c r="A80" s="163" t="s">
        <v>1965</v>
      </c>
      <c r="B80" s="164"/>
      <c r="C80" s="164">
        <v>20</v>
      </c>
      <c r="D80" s="164">
        <v>20</v>
      </c>
      <c r="E80" s="160"/>
      <c r="F80" s="161">
        <f t="shared" si="45"/>
        <v>1</v>
      </c>
      <c r="G80" s="164">
        <v>6</v>
      </c>
      <c r="H80" s="162">
        <f t="shared" si="19"/>
        <v>14</v>
      </c>
      <c r="I80" s="182">
        <f t="shared" si="50"/>
        <v>2.33333333333333</v>
      </c>
      <c r="J80" s="159">
        <f t="shared" si="49"/>
        <v>0</v>
      </c>
      <c r="K80" s="164"/>
      <c r="L80" s="164"/>
      <c r="M80" s="164"/>
      <c r="N80" s="164">
        <f t="shared" si="51"/>
        <v>-20</v>
      </c>
      <c r="O80" s="183">
        <f t="shared" si="52"/>
        <v>-1</v>
      </c>
      <c r="P80" s="184"/>
    </row>
    <row r="81" s="132" customFormat="1" hidden="1" spans="1:16">
      <c r="A81" s="169" t="s">
        <v>1936</v>
      </c>
      <c r="B81" s="159"/>
      <c r="C81" s="159"/>
      <c r="D81" s="159"/>
      <c r="E81" s="160" t="e">
        <f t="shared" ref="E81:E86" si="57">D81/B81</f>
        <v>#DIV/0!</v>
      </c>
      <c r="F81" s="161" t="e">
        <f t="shared" si="45"/>
        <v>#DIV/0!</v>
      </c>
      <c r="G81" s="159"/>
      <c r="H81" s="162">
        <f t="shared" si="19"/>
        <v>0</v>
      </c>
      <c r="I81" s="182" t="e">
        <f t="shared" si="50"/>
        <v>#DIV/0!</v>
      </c>
      <c r="J81" s="159">
        <f t="shared" si="49"/>
        <v>0</v>
      </c>
      <c r="K81" s="159"/>
      <c r="L81" s="159"/>
      <c r="M81" s="159"/>
      <c r="N81" s="164">
        <f t="shared" si="51"/>
        <v>0</v>
      </c>
      <c r="O81" s="183" t="e">
        <f t="shared" si="52"/>
        <v>#DIV/0!</v>
      </c>
      <c r="P81" s="184"/>
    </row>
    <row r="82" s="132" customFormat="1" ht="28.8" hidden="1" spans="1:16">
      <c r="A82" s="163" t="s">
        <v>1966</v>
      </c>
      <c r="B82" s="159"/>
      <c r="C82" s="159"/>
      <c r="D82" s="159"/>
      <c r="E82" s="160" t="e">
        <f t="shared" si="57"/>
        <v>#DIV/0!</v>
      </c>
      <c r="F82" s="161" t="e">
        <f t="shared" si="45"/>
        <v>#DIV/0!</v>
      </c>
      <c r="G82" s="159"/>
      <c r="H82" s="162">
        <f t="shared" si="19"/>
        <v>0</v>
      </c>
      <c r="I82" s="182" t="e">
        <f t="shared" si="50"/>
        <v>#DIV/0!</v>
      </c>
      <c r="J82" s="159">
        <f t="shared" si="49"/>
        <v>0</v>
      </c>
      <c r="K82" s="159"/>
      <c r="L82" s="159"/>
      <c r="M82" s="159"/>
      <c r="N82" s="164">
        <f t="shared" si="51"/>
        <v>0</v>
      </c>
      <c r="O82" s="183" t="e">
        <f t="shared" si="52"/>
        <v>#DIV/0!</v>
      </c>
      <c r="P82" s="184"/>
    </row>
    <row r="83" s="132" customFormat="1" ht="28.8" hidden="1" spans="1:16">
      <c r="A83" s="168" t="s">
        <v>1967</v>
      </c>
      <c r="B83" s="159"/>
      <c r="C83" s="159"/>
      <c r="D83" s="159"/>
      <c r="E83" s="160" t="e">
        <f t="shared" si="57"/>
        <v>#DIV/0!</v>
      </c>
      <c r="F83" s="161" t="e">
        <f t="shared" si="45"/>
        <v>#DIV/0!</v>
      </c>
      <c r="G83" s="159"/>
      <c r="H83" s="162">
        <f t="shared" si="19"/>
        <v>0</v>
      </c>
      <c r="I83" s="182" t="e">
        <f t="shared" si="50"/>
        <v>#DIV/0!</v>
      </c>
      <c r="J83" s="159">
        <f t="shared" si="49"/>
        <v>0</v>
      </c>
      <c r="K83" s="159"/>
      <c r="L83" s="159"/>
      <c r="M83" s="159"/>
      <c r="N83" s="164">
        <f t="shared" si="51"/>
        <v>0</v>
      </c>
      <c r="O83" s="183" t="e">
        <f t="shared" si="52"/>
        <v>#DIV/0!</v>
      </c>
      <c r="P83" s="184"/>
    </row>
    <row r="84" s="132" customFormat="1" ht="28.8" hidden="1" spans="1:16">
      <c r="A84" s="168" t="s">
        <v>1968</v>
      </c>
      <c r="B84" s="159"/>
      <c r="C84" s="159"/>
      <c r="D84" s="159"/>
      <c r="E84" s="160" t="e">
        <f t="shared" si="57"/>
        <v>#DIV/0!</v>
      </c>
      <c r="F84" s="161" t="e">
        <f t="shared" si="45"/>
        <v>#DIV/0!</v>
      </c>
      <c r="G84" s="159"/>
      <c r="H84" s="162">
        <f t="shared" si="19"/>
        <v>0</v>
      </c>
      <c r="I84" s="182" t="e">
        <f t="shared" si="50"/>
        <v>#DIV/0!</v>
      </c>
      <c r="J84" s="159">
        <f t="shared" si="49"/>
        <v>0</v>
      </c>
      <c r="K84" s="159"/>
      <c r="L84" s="159"/>
      <c r="M84" s="159"/>
      <c r="N84" s="164">
        <f t="shared" si="51"/>
        <v>0</v>
      </c>
      <c r="O84" s="183" t="e">
        <f t="shared" si="52"/>
        <v>#DIV/0!</v>
      </c>
      <c r="P84" s="184"/>
    </row>
    <row r="85" s="132" customFormat="1" ht="28.8" hidden="1" spans="1:16">
      <c r="A85" s="168" t="s">
        <v>1969</v>
      </c>
      <c r="B85" s="159"/>
      <c r="C85" s="159"/>
      <c r="D85" s="159"/>
      <c r="E85" s="160" t="e">
        <f t="shared" si="57"/>
        <v>#DIV/0!</v>
      </c>
      <c r="F85" s="161" t="e">
        <f t="shared" si="45"/>
        <v>#DIV/0!</v>
      </c>
      <c r="G85" s="159"/>
      <c r="H85" s="162">
        <f t="shared" si="19"/>
        <v>0</v>
      </c>
      <c r="I85" s="182" t="e">
        <f t="shared" si="50"/>
        <v>#DIV/0!</v>
      </c>
      <c r="J85" s="159">
        <f t="shared" si="49"/>
        <v>0</v>
      </c>
      <c r="K85" s="159"/>
      <c r="L85" s="159"/>
      <c r="M85" s="159"/>
      <c r="N85" s="164">
        <f t="shared" si="51"/>
        <v>0</v>
      </c>
      <c r="O85" s="183" t="e">
        <f t="shared" si="52"/>
        <v>#DIV/0!</v>
      </c>
      <c r="P85" s="184"/>
    </row>
    <row r="86" s="132" customFormat="1" ht="13" hidden="1" customHeight="1" spans="1:16">
      <c r="A86" s="168" t="s">
        <v>1970</v>
      </c>
      <c r="B86" s="159"/>
      <c r="C86" s="159"/>
      <c r="D86" s="159"/>
      <c r="E86" s="160" t="e">
        <f t="shared" si="57"/>
        <v>#DIV/0!</v>
      </c>
      <c r="F86" s="161" t="e">
        <f t="shared" si="45"/>
        <v>#DIV/0!</v>
      </c>
      <c r="G86" s="159"/>
      <c r="H86" s="162">
        <f t="shared" si="19"/>
        <v>0</v>
      </c>
      <c r="I86" s="182" t="e">
        <f t="shared" si="50"/>
        <v>#DIV/0!</v>
      </c>
      <c r="J86" s="159">
        <f t="shared" si="49"/>
        <v>0</v>
      </c>
      <c r="K86" s="159"/>
      <c r="L86" s="159"/>
      <c r="M86" s="159"/>
      <c r="N86" s="164">
        <f t="shared" si="51"/>
        <v>0</v>
      </c>
      <c r="O86" s="183" t="e">
        <f t="shared" si="52"/>
        <v>#DIV/0!</v>
      </c>
      <c r="P86" s="184"/>
    </row>
    <row r="87" s="132" customFormat="1" ht="29" customHeight="1" spans="1:16">
      <c r="A87" s="186" t="s">
        <v>1971</v>
      </c>
      <c r="B87" s="164"/>
      <c r="C87" s="164">
        <v>11540</v>
      </c>
      <c r="D87" s="164">
        <v>11540</v>
      </c>
      <c r="E87" s="160"/>
      <c r="F87" s="161"/>
      <c r="G87" s="164"/>
      <c r="H87" s="162"/>
      <c r="I87" s="182"/>
      <c r="J87" s="159">
        <f t="shared" si="49"/>
        <v>0</v>
      </c>
      <c r="K87" s="164"/>
      <c r="L87" s="164"/>
      <c r="M87" s="164"/>
      <c r="N87" s="164"/>
      <c r="O87" s="183"/>
      <c r="P87" s="184"/>
    </row>
    <row r="88" s="132" customFormat="1" ht="21" customHeight="1" spans="1:16">
      <c r="A88" s="145" t="s">
        <v>1972</v>
      </c>
      <c r="B88" s="164">
        <f>SUM(B7,B22,B34:B35,B51,B62:B68,B77,B79)</f>
        <v>16837.86</v>
      </c>
      <c r="C88" s="164">
        <f>SUM(C7,C22,C34:C35,C51,C62:C68,C77,C79,C87)</f>
        <v>71231</v>
      </c>
      <c r="D88" s="164">
        <f>SUM(D7,D22,D34:D35,D51,D62:D68,D77,D79,D87)</f>
        <v>52762</v>
      </c>
      <c r="E88" s="160">
        <f>D88/B88</f>
        <v>3.13353359631212</v>
      </c>
      <c r="F88" s="161">
        <f>D88/C88</f>
        <v>0.740716822731676</v>
      </c>
      <c r="G88" s="164">
        <f>SUM(G7,G22,G34:G35,G51,G62,G67,G68,G77,G79)</f>
        <v>19830</v>
      </c>
      <c r="H88" s="162">
        <f t="shared" ref="H88:H105" si="58">D88-G88</f>
        <v>32932</v>
      </c>
      <c r="I88" s="182">
        <f t="shared" ref="I88:I90" si="59">H88/G88</f>
        <v>1.66071608673727</v>
      </c>
      <c r="J88" s="159">
        <f t="shared" ref="J88:M88" si="60">SUM(J7,J22,J34:J35,J51,J62:J68,J77,J79)</f>
        <v>34722.17</v>
      </c>
      <c r="K88" s="159">
        <f t="shared" si="60"/>
        <v>21148</v>
      </c>
      <c r="L88" s="159">
        <f t="shared" si="60"/>
        <v>572.17</v>
      </c>
      <c r="M88" s="159">
        <f t="shared" si="60"/>
        <v>13002</v>
      </c>
      <c r="N88" s="164">
        <f t="shared" ref="N88:N106" si="61">J88-D88</f>
        <v>-18039.83</v>
      </c>
      <c r="O88" s="183">
        <f t="shared" ref="O88:O90" si="62">N88/D88</f>
        <v>-0.341909518213866</v>
      </c>
      <c r="P88" s="184"/>
    </row>
    <row r="89" s="132" customFormat="1" ht="21" customHeight="1" spans="1:16">
      <c r="A89" s="188" t="s">
        <v>1973</v>
      </c>
      <c r="B89" s="159">
        <f t="shared" ref="B89:G89" si="63">SUM(B90,B97)</f>
        <v>0</v>
      </c>
      <c r="C89" s="159">
        <f t="shared" si="63"/>
        <v>0</v>
      </c>
      <c r="D89" s="159">
        <f t="shared" si="63"/>
        <v>18469</v>
      </c>
      <c r="E89" s="160"/>
      <c r="F89" s="161"/>
      <c r="G89" s="159">
        <f t="shared" si="63"/>
        <v>1922</v>
      </c>
      <c r="H89" s="162">
        <f t="shared" si="58"/>
        <v>16547</v>
      </c>
      <c r="I89" s="182"/>
      <c r="J89" s="159">
        <f t="shared" ref="J89:J97" si="64">SUM(K89:M89)</f>
        <v>0</v>
      </c>
      <c r="K89" s="159">
        <f t="shared" ref="K89:M89" si="65">SUM(K90,K97)</f>
        <v>0</v>
      </c>
      <c r="L89" s="159">
        <f t="shared" si="65"/>
        <v>0</v>
      </c>
      <c r="M89" s="159">
        <f t="shared" si="65"/>
        <v>0</v>
      </c>
      <c r="N89" s="164">
        <f t="shared" si="61"/>
        <v>-18469</v>
      </c>
      <c r="O89" s="183">
        <f t="shared" si="62"/>
        <v>-1</v>
      </c>
      <c r="P89" s="184"/>
    </row>
    <row r="90" s="132" customFormat="1" ht="21" customHeight="1" spans="1:16">
      <c r="A90" s="188" t="s">
        <v>1974</v>
      </c>
      <c r="B90" s="159">
        <f t="shared" ref="B90:G90" si="66">SUM(B91,B94:B96)</f>
        <v>0</v>
      </c>
      <c r="C90" s="159">
        <f t="shared" si="66"/>
        <v>0</v>
      </c>
      <c r="D90" s="159">
        <f t="shared" si="66"/>
        <v>18469</v>
      </c>
      <c r="E90" s="160"/>
      <c r="F90" s="161"/>
      <c r="G90" s="159">
        <f t="shared" si="66"/>
        <v>1922</v>
      </c>
      <c r="H90" s="162">
        <f t="shared" si="58"/>
        <v>16547</v>
      </c>
      <c r="I90" s="182"/>
      <c r="J90" s="159">
        <f t="shared" si="64"/>
        <v>0</v>
      </c>
      <c r="K90" s="159">
        <f t="shared" ref="K90:M90" si="67">SUM(K91,K94:K96)</f>
        <v>0</v>
      </c>
      <c r="L90" s="159">
        <f t="shared" si="67"/>
        <v>0</v>
      </c>
      <c r="M90" s="159">
        <f t="shared" si="67"/>
        <v>0</v>
      </c>
      <c r="N90" s="164">
        <f t="shared" si="61"/>
        <v>-18469</v>
      </c>
      <c r="O90" s="183">
        <f t="shared" si="62"/>
        <v>-1</v>
      </c>
      <c r="P90" s="184"/>
    </row>
    <row r="91" s="132" customFormat="1" ht="21" customHeight="1" spans="1:16">
      <c r="A91" s="189" t="s">
        <v>1975</v>
      </c>
      <c r="B91" s="159"/>
      <c r="C91" s="159"/>
      <c r="D91" s="159"/>
      <c r="E91" s="160"/>
      <c r="F91" s="161"/>
      <c r="G91" s="159"/>
      <c r="H91" s="162">
        <f t="shared" si="58"/>
        <v>0</v>
      </c>
      <c r="I91" s="182"/>
      <c r="J91" s="159">
        <f t="shared" si="64"/>
        <v>0</v>
      </c>
      <c r="K91" s="159"/>
      <c r="L91" s="159"/>
      <c r="M91" s="159"/>
      <c r="N91" s="164">
        <f t="shared" si="61"/>
        <v>0</v>
      </c>
      <c r="O91" s="183"/>
      <c r="P91" s="184"/>
    </row>
    <row r="92" s="132" customFormat="1" ht="21" customHeight="1" spans="1:16">
      <c r="A92" s="189" t="s">
        <v>1976</v>
      </c>
      <c r="B92" s="159"/>
      <c r="C92" s="159"/>
      <c r="D92" s="159"/>
      <c r="E92" s="160"/>
      <c r="F92" s="161"/>
      <c r="G92" s="159"/>
      <c r="H92" s="162">
        <f t="shared" si="58"/>
        <v>0</v>
      </c>
      <c r="I92" s="182"/>
      <c r="J92" s="159">
        <f t="shared" si="64"/>
        <v>0</v>
      </c>
      <c r="K92" s="159"/>
      <c r="L92" s="159"/>
      <c r="M92" s="159"/>
      <c r="N92" s="164">
        <f t="shared" si="61"/>
        <v>0</v>
      </c>
      <c r="O92" s="183"/>
      <c r="P92" s="184"/>
    </row>
    <row r="93" s="132" customFormat="1" ht="21" customHeight="1" spans="1:16">
      <c r="A93" s="189" t="s">
        <v>1977</v>
      </c>
      <c r="B93" s="159"/>
      <c r="C93" s="159"/>
      <c r="D93" s="159"/>
      <c r="E93" s="160"/>
      <c r="F93" s="161"/>
      <c r="G93" s="159"/>
      <c r="H93" s="162">
        <f t="shared" si="58"/>
        <v>0</v>
      </c>
      <c r="I93" s="182"/>
      <c r="J93" s="159">
        <f t="shared" si="64"/>
        <v>0</v>
      </c>
      <c r="K93" s="159"/>
      <c r="L93" s="159"/>
      <c r="M93" s="159"/>
      <c r="N93" s="164">
        <f t="shared" si="61"/>
        <v>0</v>
      </c>
      <c r="O93" s="183"/>
      <c r="P93" s="184"/>
    </row>
    <row r="94" s="132" customFormat="1" ht="21" customHeight="1" spans="1:16">
      <c r="A94" s="189" t="s">
        <v>1978</v>
      </c>
      <c r="B94" s="159"/>
      <c r="C94" s="159"/>
      <c r="D94" s="159">
        <v>5467</v>
      </c>
      <c r="E94" s="160"/>
      <c r="F94" s="161"/>
      <c r="G94" s="159">
        <v>1085</v>
      </c>
      <c r="H94" s="162">
        <f t="shared" si="58"/>
        <v>4382</v>
      </c>
      <c r="I94" s="182"/>
      <c r="J94" s="159">
        <f t="shared" si="64"/>
        <v>0</v>
      </c>
      <c r="K94" s="159"/>
      <c r="L94" s="159"/>
      <c r="M94" s="159"/>
      <c r="N94" s="164">
        <f t="shared" si="61"/>
        <v>-5467</v>
      </c>
      <c r="O94" s="183">
        <f t="shared" ref="O94:O106" si="68">N94/D94</f>
        <v>-1</v>
      </c>
      <c r="P94" s="184"/>
    </row>
    <row r="95" s="132" customFormat="1" ht="21" customHeight="1" spans="1:16">
      <c r="A95" s="189" t="s">
        <v>1979</v>
      </c>
      <c r="B95" s="159"/>
      <c r="C95" s="159"/>
      <c r="D95" s="159">
        <v>13002</v>
      </c>
      <c r="E95" s="160"/>
      <c r="F95" s="161"/>
      <c r="G95" s="159">
        <v>837</v>
      </c>
      <c r="H95" s="162">
        <f t="shared" si="58"/>
        <v>12165</v>
      </c>
      <c r="I95" s="182"/>
      <c r="J95" s="159">
        <f t="shared" si="64"/>
        <v>0</v>
      </c>
      <c r="K95" s="159"/>
      <c r="L95" s="159"/>
      <c r="M95" s="159"/>
      <c r="N95" s="164">
        <f t="shared" si="61"/>
        <v>-13002</v>
      </c>
      <c r="O95" s="183">
        <f t="shared" si="68"/>
        <v>-1</v>
      </c>
      <c r="P95" s="184"/>
    </row>
    <row r="96" s="132" customFormat="1" ht="21" customHeight="1" spans="1:16">
      <c r="A96" s="189" t="s">
        <v>1980</v>
      </c>
      <c r="B96" s="159"/>
      <c r="C96" s="159"/>
      <c r="D96" s="159"/>
      <c r="E96" s="160"/>
      <c r="F96" s="161"/>
      <c r="G96" s="159"/>
      <c r="H96" s="162">
        <f t="shared" si="58"/>
        <v>0</v>
      </c>
      <c r="I96" s="182"/>
      <c r="J96" s="159">
        <f t="shared" si="64"/>
        <v>0</v>
      </c>
      <c r="K96" s="159"/>
      <c r="L96" s="159"/>
      <c r="M96" s="159"/>
      <c r="N96" s="164">
        <f t="shared" si="61"/>
        <v>0</v>
      </c>
      <c r="O96" s="183"/>
      <c r="P96" s="184"/>
    </row>
    <row r="97" s="132" customFormat="1" ht="21" customHeight="1" spans="1:16">
      <c r="A97" s="188" t="s">
        <v>158</v>
      </c>
      <c r="B97" s="190"/>
      <c r="C97" s="159"/>
      <c r="D97" s="159"/>
      <c r="E97" s="160"/>
      <c r="F97" s="161"/>
      <c r="G97" s="159"/>
      <c r="H97" s="162">
        <f t="shared" si="58"/>
        <v>0</v>
      </c>
      <c r="I97" s="182"/>
      <c r="J97" s="159">
        <f t="shared" si="64"/>
        <v>0</v>
      </c>
      <c r="K97" s="159"/>
      <c r="L97" s="159"/>
      <c r="M97" s="159"/>
      <c r="N97" s="164">
        <f t="shared" si="61"/>
        <v>0</v>
      </c>
      <c r="O97" s="183"/>
      <c r="P97" s="184"/>
    </row>
    <row r="98" s="133" customFormat="1" ht="21" hidden="1" customHeight="1" spans="1:16">
      <c r="A98" s="189" t="s">
        <v>1981</v>
      </c>
      <c r="B98" s="159"/>
      <c r="C98" s="164"/>
      <c r="D98" s="164"/>
      <c r="E98" s="160" t="e">
        <f t="shared" ref="E98:E106" si="69">D98/B98</f>
        <v>#DIV/0!</v>
      </c>
      <c r="F98" s="161" t="e">
        <f t="shared" ref="F98:F106" si="70">D98/C98</f>
        <v>#DIV/0!</v>
      </c>
      <c r="G98" s="164"/>
      <c r="H98" s="162">
        <f t="shared" si="58"/>
        <v>0</v>
      </c>
      <c r="I98" s="182" t="e">
        <f t="shared" ref="I94:I105" si="71">H98/G98</f>
        <v>#DIV/0!</v>
      </c>
      <c r="J98" s="159">
        <v>0</v>
      </c>
      <c r="K98" s="164"/>
      <c r="L98" s="164"/>
      <c r="M98" s="164"/>
      <c r="N98" s="164">
        <f t="shared" si="61"/>
        <v>0</v>
      </c>
      <c r="O98" s="183" t="e">
        <f t="shared" si="68"/>
        <v>#DIV/0!</v>
      </c>
      <c r="P98" s="197"/>
    </row>
    <row r="99" s="133" customFormat="1" ht="21" hidden="1" customHeight="1" spans="1:16">
      <c r="A99" s="163" t="s">
        <v>1982</v>
      </c>
      <c r="B99" s="159"/>
      <c r="C99" s="159"/>
      <c r="D99" s="159"/>
      <c r="E99" s="160" t="e">
        <f t="shared" si="69"/>
        <v>#DIV/0!</v>
      </c>
      <c r="F99" s="161" t="e">
        <f t="shared" si="70"/>
        <v>#DIV/0!</v>
      </c>
      <c r="G99" s="159"/>
      <c r="H99" s="162">
        <f t="shared" si="58"/>
        <v>0</v>
      </c>
      <c r="I99" s="182" t="e">
        <f t="shared" si="71"/>
        <v>#DIV/0!</v>
      </c>
      <c r="J99" s="159">
        <v>0</v>
      </c>
      <c r="K99" s="159"/>
      <c r="L99" s="159"/>
      <c r="M99" s="159"/>
      <c r="N99" s="164">
        <f t="shared" si="61"/>
        <v>0</v>
      </c>
      <c r="O99" s="183" t="e">
        <f t="shared" si="68"/>
        <v>#DIV/0!</v>
      </c>
      <c r="P99" s="197"/>
    </row>
    <row r="100" s="133" customFormat="1" ht="21" hidden="1" customHeight="1" spans="1:16">
      <c r="A100" s="163" t="s">
        <v>1983</v>
      </c>
      <c r="B100" s="159"/>
      <c r="C100" s="159"/>
      <c r="D100" s="159"/>
      <c r="E100" s="160" t="e">
        <f t="shared" si="69"/>
        <v>#DIV/0!</v>
      </c>
      <c r="F100" s="161" t="e">
        <f t="shared" si="70"/>
        <v>#DIV/0!</v>
      </c>
      <c r="G100" s="159"/>
      <c r="H100" s="162">
        <f t="shared" si="58"/>
        <v>0</v>
      </c>
      <c r="I100" s="182" t="e">
        <f t="shared" si="71"/>
        <v>#DIV/0!</v>
      </c>
      <c r="J100" s="159">
        <v>0</v>
      </c>
      <c r="K100" s="159"/>
      <c r="L100" s="159"/>
      <c r="M100" s="159"/>
      <c r="N100" s="164">
        <f t="shared" si="61"/>
        <v>0</v>
      </c>
      <c r="O100" s="183" t="e">
        <f t="shared" si="68"/>
        <v>#DIV/0!</v>
      </c>
      <c r="P100" s="197"/>
    </row>
    <row r="101" s="133" customFormat="1" ht="21" hidden="1" customHeight="1" spans="1:16">
      <c r="A101" s="168" t="s">
        <v>1984</v>
      </c>
      <c r="B101" s="159"/>
      <c r="C101" s="159"/>
      <c r="D101" s="159"/>
      <c r="E101" s="160" t="e">
        <f t="shared" si="69"/>
        <v>#DIV/0!</v>
      </c>
      <c r="F101" s="161" t="e">
        <f t="shared" si="70"/>
        <v>#DIV/0!</v>
      </c>
      <c r="G101" s="159"/>
      <c r="H101" s="162">
        <f t="shared" si="58"/>
        <v>0</v>
      </c>
      <c r="I101" s="182" t="e">
        <f t="shared" si="71"/>
        <v>#DIV/0!</v>
      </c>
      <c r="J101" s="159">
        <v>0</v>
      </c>
      <c r="K101" s="159"/>
      <c r="L101" s="159"/>
      <c r="M101" s="159"/>
      <c r="N101" s="164">
        <f t="shared" si="61"/>
        <v>0</v>
      </c>
      <c r="O101" s="183" t="e">
        <f t="shared" si="68"/>
        <v>#DIV/0!</v>
      </c>
      <c r="P101" s="197"/>
    </row>
    <row r="102" s="133" customFormat="1" ht="21" hidden="1" customHeight="1" spans="1:16">
      <c r="A102" s="168" t="s">
        <v>1985</v>
      </c>
      <c r="B102" s="159"/>
      <c r="C102" s="159"/>
      <c r="D102" s="159"/>
      <c r="E102" s="160" t="e">
        <f t="shared" si="69"/>
        <v>#DIV/0!</v>
      </c>
      <c r="F102" s="161" t="e">
        <f t="shared" si="70"/>
        <v>#DIV/0!</v>
      </c>
      <c r="G102" s="159"/>
      <c r="H102" s="162">
        <f t="shared" si="58"/>
        <v>0</v>
      </c>
      <c r="I102" s="182" t="e">
        <f t="shared" si="71"/>
        <v>#DIV/0!</v>
      </c>
      <c r="J102" s="159">
        <v>0</v>
      </c>
      <c r="K102" s="159"/>
      <c r="L102" s="159"/>
      <c r="M102" s="159"/>
      <c r="N102" s="164">
        <f t="shared" si="61"/>
        <v>0</v>
      </c>
      <c r="O102" s="183" t="e">
        <f t="shared" si="68"/>
        <v>#DIV/0!</v>
      </c>
      <c r="P102" s="197"/>
    </row>
    <row r="103" s="133" customFormat="1" ht="21" hidden="1" customHeight="1" spans="1:16">
      <c r="A103" s="168" t="s">
        <v>1986</v>
      </c>
      <c r="B103" s="159"/>
      <c r="C103" s="159"/>
      <c r="D103" s="159"/>
      <c r="E103" s="160" t="e">
        <f t="shared" si="69"/>
        <v>#DIV/0!</v>
      </c>
      <c r="F103" s="161" t="e">
        <f t="shared" si="70"/>
        <v>#DIV/0!</v>
      </c>
      <c r="G103" s="159"/>
      <c r="H103" s="162">
        <f t="shared" si="58"/>
        <v>0</v>
      </c>
      <c r="I103" s="182" t="e">
        <f t="shared" si="71"/>
        <v>#DIV/0!</v>
      </c>
      <c r="J103" s="159">
        <v>0</v>
      </c>
      <c r="K103" s="159"/>
      <c r="L103" s="159"/>
      <c r="M103" s="159"/>
      <c r="N103" s="164">
        <f t="shared" si="61"/>
        <v>0</v>
      </c>
      <c r="O103" s="183" t="e">
        <f t="shared" si="68"/>
        <v>#DIV/0!</v>
      </c>
      <c r="P103" s="197"/>
    </row>
    <row r="104" s="133" customFormat="1" ht="21" hidden="1" customHeight="1" spans="1:16">
      <c r="A104" s="168" t="s">
        <v>1987</v>
      </c>
      <c r="B104" s="159"/>
      <c r="C104" s="159"/>
      <c r="D104" s="159"/>
      <c r="E104" s="160" t="e">
        <f t="shared" si="69"/>
        <v>#DIV/0!</v>
      </c>
      <c r="F104" s="161" t="e">
        <f t="shared" si="70"/>
        <v>#DIV/0!</v>
      </c>
      <c r="G104" s="159"/>
      <c r="H104" s="162">
        <f t="shared" si="58"/>
        <v>0</v>
      </c>
      <c r="I104" s="182" t="e">
        <f t="shared" si="71"/>
        <v>#DIV/0!</v>
      </c>
      <c r="J104" s="159">
        <v>0</v>
      </c>
      <c r="K104" s="159"/>
      <c r="L104" s="159"/>
      <c r="M104" s="159"/>
      <c r="N104" s="164">
        <f t="shared" si="61"/>
        <v>0</v>
      </c>
      <c r="O104" s="183" t="e">
        <f t="shared" si="68"/>
        <v>#DIV/0!</v>
      </c>
      <c r="P104" s="197"/>
    </row>
    <row r="105" s="133" customFormat="1" ht="21" hidden="1" customHeight="1" spans="1:16">
      <c r="A105" s="189"/>
      <c r="B105" s="159"/>
      <c r="C105" s="159"/>
      <c r="D105" s="159"/>
      <c r="E105" s="160" t="e">
        <f t="shared" si="69"/>
        <v>#DIV/0!</v>
      </c>
      <c r="F105" s="161" t="e">
        <f t="shared" si="70"/>
        <v>#DIV/0!</v>
      </c>
      <c r="G105" s="159"/>
      <c r="H105" s="162">
        <f t="shared" si="58"/>
        <v>0</v>
      </c>
      <c r="I105" s="182" t="e">
        <f t="shared" si="71"/>
        <v>#DIV/0!</v>
      </c>
      <c r="J105" s="159">
        <v>0</v>
      </c>
      <c r="K105" s="159"/>
      <c r="L105" s="159"/>
      <c r="M105" s="159"/>
      <c r="N105" s="164">
        <f t="shared" si="61"/>
        <v>0</v>
      </c>
      <c r="O105" s="183" t="e">
        <f t="shared" si="68"/>
        <v>#DIV/0!</v>
      </c>
      <c r="P105" s="197"/>
    </row>
    <row r="106" s="134" customFormat="1" ht="21" customHeight="1" spans="1:17">
      <c r="A106" s="191" t="s">
        <v>162</v>
      </c>
      <c r="B106" s="159">
        <f t="shared" ref="B106:M106" si="72">SUM(B88:B89)</f>
        <v>16837.86</v>
      </c>
      <c r="C106" s="159">
        <f t="shared" si="72"/>
        <v>71231</v>
      </c>
      <c r="D106" s="159">
        <f t="shared" si="72"/>
        <v>71231</v>
      </c>
      <c r="E106" s="160">
        <f t="shared" si="69"/>
        <v>4.23040695195233</v>
      </c>
      <c r="F106" s="161">
        <f t="shared" si="70"/>
        <v>1</v>
      </c>
      <c r="G106" s="159">
        <f t="shared" si="72"/>
        <v>21752</v>
      </c>
      <c r="H106" s="159">
        <f t="shared" si="72"/>
        <v>49479</v>
      </c>
      <c r="I106" s="198">
        <f t="shared" si="72"/>
        <v>1.66071608673727</v>
      </c>
      <c r="J106" s="159">
        <f t="shared" si="72"/>
        <v>34722.17</v>
      </c>
      <c r="K106" s="159">
        <f t="shared" si="72"/>
        <v>21148</v>
      </c>
      <c r="L106" s="159">
        <f t="shared" si="72"/>
        <v>572.17</v>
      </c>
      <c r="M106" s="159">
        <f t="shared" si="72"/>
        <v>13002</v>
      </c>
      <c r="N106" s="164">
        <f t="shared" si="61"/>
        <v>-36508.83</v>
      </c>
      <c r="O106" s="183">
        <f t="shared" si="68"/>
        <v>-0.512541309261417</v>
      </c>
      <c r="P106" s="197"/>
      <c r="Q106" s="133"/>
    </row>
    <row r="107" s="130" customFormat="1" ht="15.6" spans="1:16">
      <c r="A107" s="192"/>
      <c r="B107" s="193"/>
      <c r="C107" s="193"/>
      <c r="D107" s="193"/>
      <c r="E107" s="193"/>
      <c r="F107" s="193"/>
      <c r="G107" s="193"/>
      <c r="H107" s="194"/>
      <c r="I107" s="199"/>
      <c r="J107" s="193"/>
      <c r="K107" s="193"/>
      <c r="L107" s="193"/>
      <c r="M107" s="193"/>
      <c r="N107" s="194"/>
      <c r="O107" s="194"/>
      <c r="P107" s="200"/>
    </row>
    <row r="108" s="130" customFormat="1" ht="15.6" spans="1:16">
      <c r="A108" s="142"/>
      <c r="B108" s="195"/>
      <c r="C108" s="195"/>
      <c r="D108" s="195"/>
      <c r="E108" s="195"/>
      <c r="F108" s="195"/>
      <c r="G108" s="195"/>
      <c r="H108" s="195"/>
      <c r="I108" s="201"/>
      <c r="J108" s="195"/>
      <c r="K108" s="195"/>
      <c r="L108" s="195"/>
      <c r="M108" s="195"/>
      <c r="N108" s="195"/>
      <c r="O108" s="195"/>
      <c r="P108" s="200"/>
    </row>
    <row r="109" s="130" customFormat="1" ht="15.6" spans="1:16">
      <c r="A109" s="142"/>
      <c r="B109" s="195"/>
      <c r="C109" s="195"/>
      <c r="D109" s="195"/>
      <c r="E109" s="195"/>
      <c r="F109" s="195"/>
      <c r="G109" s="195"/>
      <c r="H109" s="195"/>
      <c r="I109" s="201"/>
      <c r="J109" s="195"/>
      <c r="K109" s="195"/>
      <c r="L109" s="195"/>
      <c r="M109" s="195"/>
      <c r="N109" s="195"/>
      <c r="O109" s="195"/>
      <c r="P109" s="200"/>
    </row>
    <row r="110" s="130" customFormat="1" ht="15.6" spans="1:15">
      <c r="A110" s="142"/>
      <c r="B110" s="143"/>
      <c r="C110" s="143"/>
      <c r="D110" s="143"/>
      <c r="E110" s="144"/>
      <c r="F110" s="144"/>
      <c r="G110" s="143"/>
      <c r="H110" s="143"/>
      <c r="I110" s="172"/>
      <c r="J110" s="143"/>
      <c r="K110" s="143"/>
      <c r="L110" s="143"/>
      <c r="M110" s="143"/>
      <c r="N110" s="173"/>
      <c r="O110" s="144"/>
    </row>
    <row r="111" s="135" customFormat="1" ht="15.6" spans="4:9">
      <c r="D111" s="196"/>
      <c r="I111" s="138"/>
    </row>
    <row r="112" s="135" customFormat="1" ht="15.6" spans="4:9">
      <c r="D112" s="196"/>
      <c r="I112" s="138"/>
    </row>
    <row r="113" s="135" customFormat="1" ht="15.6" spans="4:9">
      <c r="D113" s="196"/>
      <c r="I113" s="138"/>
    </row>
    <row r="114" s="135" customFormat="1" ht="15.6" spans="4:9">
      <c r="D114" s="196"/>
      <c r="I114" s="138"/>
    </row>
    <row r="115" s="135" customFormat="1" ht="15.6" spans="4:9">
      <c r="D115" s="196"/>
      <c r="I115" s="138"/>
    </row>
    <row r="116" s="135" customFormat="1" ht="15.6" spans="4:9">
      <c r="D116" s="196"/>
      <c r="I116" s="138"/>
    </row>
    <row r="117" s="135" customFormat="1" ht="15.6" spans="4:9">
      <c r="D117" s="196"/>
      <c r="I117" s="138"/>
    </row>
    <row r="118" s="135" customFormat="1" ht="15.6" spans="4:9">
      <c r="D118" s="196"/>
      <c r="I118" s="138"/>
    </row>
    <row r="119" s="135" customFormat="1" ht="15.6" spans="4:9">
      <c r="D119" s="196"/>
      <c r="I119" s="138"/>
    </row>
    <row r="120" s="135" customFormat="1" ht="15.6" spans="4:9">
      <c r="D120" s="196"/>
      <c r="I120" s="138"/>
    </row>
    <row r="121" s="135" customFormat="1" ht="15.6" spans="4:9">
      <c r="D121" s="196"/>
      <c r="I121" s="138"/>
    </row>
    <row r="122" s="135" customFormat="1" ht="15.6" spans="4:9">
      <c r="D122" s="196"/>
      <c r="I122" s="138"/>
    </row>
    <row r="123" s="135" customFormat="1" ht="15.6" spans="4:9">
      <c r="D123" s="196"/>
      <c r="I123" s="138"/>
    </row>
    <row r="124" s="135" customFormat="1" ht="15.6" spans="4:9">
      <c r="D124" s="196"/>
      <c r="I124" s="138"/>
    </row>
    <row r="125" s="135" customFormat="1" ht="15.6" spans="4:9">
      <c r="D125" s="196"/>
      <c r="I125" s="138"/>
    </row>
    <row r="126" s="135" customFormat="1" ht="15.6" spans="4:9">
      <c r="D126" s="196"/>
      <c r="I126" s="138"/>
    </row>
    <row r="127" s="135" customFormat="1" ht="15.6" spans="4:9">
      <c r="D127" s="196"/>
      <c r="I127" s="138"/>
    </row>
    <row r="128" s="135" customFormat="1" ht="15.6" spans="4:9">
      <c r="D128" s="196"/>
      <c r="I128" s="138"/>
    </row>
    <row r="129" s="135" customFormat="1" ht="15.6" spans="4:9">
      <c r="D129" s="196"/>
      <c r="I129" s="138"/>
    </row>
    <row r="130" s="135" customFormat="1" ht="15.6" spans="4:9">
      <c r="D130" s="196"/>
      <c r="I130" s="138"/>
    </row>
    <row r="131" s="135" customFormat="1" ht="15.6" spans="4:9">
      <c r="D131" s="196"/>
      <c r="I131" s="138"/>
    </row>
    <row r="132" s="135" customFormat="1" ht="15.6" spans="4:9">
      <c r="D132" s="196"/>
      <c r="I132" s="138"/>
    </row>
    <row r="133" s="135" customFormat="1" ht="15.6" spans="4:9">
      <c r="D133" s="196"/>
      <c r="I133" s="138"/>
    </row>
    <row r="134" s="135" customFormat="1" ht="15.6" spans="4:9">
      <c r="D134" s="196"/>
      <c r="I134" s="138"/>
    </row>
    <row r="135" s="135" customFormat="1" ht="15.6" spans="4:9">
      <c r="D135" s="196"/>
      <c r="I135" s="138"/>
    </row>
    <row r="136" s="135" customFormat="1" ht="15.6" spans="4:9">
      <c r="D136" s="196"/>
      <c r="I136" s="138"/>
    </row>
    <row r="137" s="135" customFormat="1" ht="15.6" spans="4:9">
      <c r="D137" s="196"/>
      <c r="I137" s="138"/>
    </row>
    <row r="138" s="135" customFormat="1" ht="15.6" spans="4:9">
      <c r="D138" s="196"/>
      <c r="I138" s="138"/>
    </row>
    <row r="139" s="135" customFormat="1" ht="15.6" spans="4:9">
      <c r="D139" s="196"/>
      <c r="I139" s="138"/>
    </row>
    <row r="140" s="135" customFormat="1" ht="15.6" spans="4:9">
      <c r="D140" s="196"/>
      <c r="I140" s="138"/>
    </row>
    <row r="141" s="135" customFormat="1" ht="15.6" spans="4:9">
      <c r="D141" s="196"/>
      <c r="I141" s="138"/>
    </row>
    <row r="142" s="135" customFormat="1" ht="15.6" spans="4:9">
      <c r="D142" s="196"/>
      <c r="I142" s="138"/>
    </row>
    <row r="143" s="135" customFormat="1" ht="15.6" spans="4:9">
      <c r="D143" s="196"/>
      <c r="I143" s="138"/>
    </row>
    <row r="144" s="135" customFormat="1" ht="15.6" spans="4:9">
      <c r="D144" s="196"/>
      <c r="I144" s="138"/>
    </row>
    <row r="145" s="135" customFormat="1" ht="15.6" spans="4:9">
      <c r="D145" s="196"/>
      <c r="I145" s="138"/>
    </row>
    <row r="146" s="135" customFormat="1" ht="15.6" spans="4:9">
      <c r="D146" s="196"/>
      <c r="I146" s="138"/>
    </row>
    <row r="147" s="135" customFormat="1" ht="15.6" spans="4:9">
      <c r="D147" s="196"/>
      <c r="I147" s="138"/>
    </row>
    <row r="148" s="135" customFormat="1" ht="15.6" spans="4:9">
      <c r="D148" s="196"/>
      <c r="I148" s="138"/>
    </row>
    <row r="149" s="135" customFormat="1" ht="15.6" spans="4:9">
      <c r="D149" s="196"/>
      <c r="I149" s="138"/>
    </row>
    <row r="150" s="135" customFormat="1" ht="15.6" spans="4:9">
      <c r="D150" s="196"/>
      <c r="I150" s="138"/>
    </row>
    <row r="151" s="135" customFormat="1" ht="15.6" spans="4:9">
      <c r="D151" s="196"/>
      <c r="I151" s="138"/>
    </row>
    <row r="152" s="135" customFormat="1" ht="15.6" spans="4:9">
      <c r="D152" s="196"/>
      <c r="I152" s="138"/>
    </row>
    <row r="153" s="135" customFormat="1" ht="15.6" spans="4:9">
      <c r="D153" s="196"/>
      <c r="I153" s="138"/>
    </row>
    <row r="154" s="135" customFormat="1" ht="15.6" spans="4:9">
      <c r="D154" s="196"/>
      <c r="I154" s="138"/>
    </row>
    <row r="155" s="135" customFormat="1" ht="15.6" spans="4:9">
      <c r="D155" s="196"/>
      <c r="I155" s="138"/>
    </row>
    <row r="156" s="135" customFormat="1" ht="15.6" spans="4:9">
      <c r="D156" s="196"/>
      <c r="I156" s="138"/>
    </row>
    <row r="157" s="135" customFormat="1" ht="15.6" spans="4:9">
      <c r="D157" s="196"/>
      <c r="I157" s="138"/>
    </row>
    <row r="158" s="135" customFormat="1" ht="15.6" spans="4:9">
      <c r="D158" s="196"/>
      <c r="I158" s="138"/>
    </row>
    <row r="159" s="135" customFormat="1" ht="15.6" spans="4:9">
      <c r="D159" s="196"/>
      <c r="I159" s="138"/>
    </row>
    <row r="160" s="135" customFormat="1" ht="15.6" spans="4:9">
      <c r="D160" s="196"/>
      <c r="I160" s="138"/>
    </row>
    <row r="161" s="135" customFormat="1" ht="15.6" spans="4:9">
      <c r="D161" s="196"/>
      <c r="I161" s="138"/>
    </row>
    <row r="162" s="135" customFormat="1" ht="15.6" spans="4:9">
      <c r="D162" s="196"/>
      <c r="I162" s="138"/>
    </row>
    <row r="163" s="135" customFormat="1" ht="15.6" spans="4:9">
      <c r="D163" s="196"/>
      <c r="I163" s="138"/>
    </row>
    <row r="164" s="135" customFormat="1" ht="15.6" spans="4:9">
      <c r="D164" s="196"/>
      <c r="I164" s="138"/>
    </row>
    <row r="165" s="135" customFormat="1" ht="15.6" spans="4:9">
      <c r="D165" s="196"/>
      <c r="I165" s="138"/>
    </row>
    <row r="166" s="135" customFormat="1" ht="15.6" spans="4:9">
      <c r="D166" s="196"/>
      <c r="I166" s="138"/>
    </row>
    <row r="167" s="135" customFormat="1" ht="15.6" spans="4:9">
      <c r="D167" s="196"/>
      <c r="I167" s="138"/>
    </row>
    <row r="168" s="135" customFormat="1" ht="15.6" spans="4:9">
      <c r="D168" s="196"/>
      <c r="I168" s="138"/>
    </row>
    <row r="169" s="135" customFormat="1" ht="15.6" spans="4:9">
      <c r="D169" s="196"/>
      <c r="I169" s="138"/>
    </row>
    <row r="170" s="135" customFormat="1" ht="15.6" spans="4:9">
      <c r="D170" s="196"/>
      <c r="I170" s="138"/>
    </row>
    <row r="171" s="135" customFormat="1" ht="15.6" spans="4:9">
      <c r="D171" s="196"/>
      <c r="I171" s="138"/>
    </row>
    <row r="172" s="135" customFormat="1" ht="15.6" spans="4:9">
      <c r="D172" s="196"/>
      <c r="I172" s="138"/>
    </row>
    <row r="173" s="135" customFormat="1" ht="15.6" spans="4:9">
      <c r="D173" s="196"/>
      <c r="I173" s="138"/>
    </row>
    <row r="174" s="135" customFormat="1" ht="15.6" spans="4:9">
      <c r="D174" s="196"/>
      <c r="I174" s="138"/>
    </row>
    <row r="175" s="135" customFormat="1" ht="15.6" spans="4:9">
      <c r="D175" s="196"/>
      <c r="I175" s="138"/>
    </row>
    <row r="176" s="135" customFormat="1" ht="15.6" spans="4:9">
      <c r="D176" s="196"/>
      <c r="I176" s="138"/>
    </row>
    <row r="177" s="135" customFormat="1" ht="15.6" spans="4:9">
      <c r="D177" s="196"/>
      <c r="I177" s="138"/>
    </row>
    <row r="178" s="135" customFormat="1" ht="15.6" spans="4:9">
      <c r="D178" s="196"/>
      <c r="I178" s="138"/>
    </row>
    <row r="179" s="135" customFormat="1" ht="15.6" spans="4:9">
      <c r="D179" s="196"/>
      <c r="I179" s="138"/>
    </row>
    <row r="180" s="135" customFormat="1" ht="15.6" spans="4:9">
      <c r="D180" s="196"/>
      <c r="I180" s="138"/>
    </row>
    <row r="181" s="135" customFormat="1" ht="15.6" spans="4:9">
      <c r="D181" s="196"/>
      <c r="I181" s="138"/>
    </row>
    <row r="182" s="135" customFormat="1" ht="15.6" spans="4:9">
      <c r="D182" s="196"/>
      <c r="I182" s="138"/>
    </row>
    <row r="183" s="135" customFormat="1" ht="15.6" spans="4:9">
      <c r="D183" s="196"/>
      <c r="I183" s="138"/>
    </row>
    <row r="184" s="135" customFormat="1" ht="15.6" spans="4:9">
      <c r="D184" s="196"/>
      <c r="I184" s="138"/>
    </row>
    <row r="185" s="135" customFormat="1" ht="15.6" spans="4:9">
      <c r="D185" s="196"/>
      <c r="I185" s="138"/>
    </row>
    <row r="186" s="135" customFormat="1" ht="15.6" spans="4:9">
      <c r="D186" s="196"/>
      <c r="I186" s="138"/>
    </row>
    <row r="187" s="135" customFormat="1" ht="15.6" spans="4:9">
      <c r="D187" s="196"/>
      <c r="I187" s="138"/>
    </row>
    <row r="188" s="135" customFormat="1" ht="15.6" spans="4:9">
      <c r="D188" s="196"/>
      <c r="I188" s="138"/>
    </row>
    <row r="189" s="135" customFormat="1" ht="15.6" spans="4:9">
      <c r="D189" s="196"/>
      <c r="I189" s="138"/>
    </row>
    <row r="190" s="135" customFormat="1" ht="15.6" spans="4:9">
      <c r="D190" s="196"/>
      <c r="I190" s="138"/>
    </row>
    <row r="191" s="135" customFormat="1" ht="15.6" spans="4:9">
      <c r="D191" s="196"/>
      <c r="I191" s="138"/>
    </row>
    <row r="192" s="135" customFormat="1" ht="15.6" spans="4:9">
      <c r="D192" s="196"/>
      <c r="I192" s="138"/>
    </row>
    <row r="193" s="135" customFormat="1" ht="15.6" spans="4:9">
      <c r="D193" s="196"/>
      <c r="I193" s="138"/>
    </row>
    <row r="194" s="135" customFormat="1" ht="15.6" spans="4:9">
      <c r="D194" s="196"/>
      <c r="I194" s="138"/>
    </row>
    <row r="195" s="135" customFormat="1" ht="15.6" spans="4:9">
      <c r="D195" s="196"/>
      <c r="I195" s="138"/>
    </row>
    <row r="196" s="135" customFormat="1" ht="15.6" spans="4:9">
      <c r="D196" s="196"/>
      <c r="I196" s="138"/>
    </row>
    <row r="197" s="135" customFormat="1" ht="15.6" spans="4:9">
      <c r="D197" s="196"/>
      <c r="I197" s="138"/>
    </row>
    <row r="198" s="135" customFormat="1" ht="15.6" spans="4:9">
      <c r="D198" s="196"/>
      <c r="I198" s="138"/>
    </row>
    <row r="199" s="135" customFormat="1" ht="15.6" spans="4:9">
      <c r="D199" s="196"/>
      <c r="I199" s="138"/>
    </row>
    <row r="200" s="135" customFormat="1" ht="15.6" spans="4:9">
      <c r="D200" s="196"/>
      <c r="I200" s="138"/>
    </row>
    <row r="201" s="135" customFormat="1" ht="15.6" spans="4:9">
      <c r="D201" s="196"/>
      <c r="I201" s="138"/>
    </row>
    <row r="202" s="135" customFormat="1" ht="15.6" spans="4:9">
      <c r="D202" s="196"/>
      <c r="I202" s="138"/>
    </row>
    <row r="203" s="135" customFormat="1" ht="15.6" spans="4:9">
      <c r="D203" s="196"/>
      <c r="I203" s="138"/>
    </row>
    <row r="204" s="135" customFormat="1" ht="15.6" spans="4:9">
      <c r="D204" s="196"/>
      <c r="I204" s="138"/>
    </row>
    <row r="205" s="135" customFormat="1" ht="15.6" spans="4:9">
      <c r="D205" s="196"/>
      <c r="I205" s="138"/>
    </row>
    <row r="206" s="135" customFormat="1" ht="15.6" spans="4:9">
      <c r="D206" s="196"/>
      <c r="I206" s="138"/>
    </row>
    <row r="207" s="135" customFormat="1" ht="15.6" spans="4:9">
      <c r="D207" s="196"/>
      <c r="I207" s="138"/>
    </row>
    <row r="208" s="135" customFormat="1" ht="15.6" spans="4:9">
      <c r="D208" s="196"/>
      <c r="I208" s="138"/>
    </row>
    <row r="209" s="135" customFormat="1" ht="15.6" spans="4:9">
      <c r="D209" s="196"/>
      <c r="I209" s="138"/>
    </row>
    <row r="210" s="135" customFormat="1" ht="15.6" spans="4:9">
      <c r="D210" s="196"/>
      <c r="I210" s="138"/>
    </row>
    <row r="211" s="135" customFormat="1" ht="15.6" spans="4:9">
      <c r="D211" s="196"/>
      <c r="I211" s="138"/>
    </row>
    <row r="212" s="135" customFormat="1" ht="15.6" spans="4:9">
      <c r="D212" s="196"/>
      <c r="I212" s="138"/>
    </row>
    <row r="213" s="135" customFormat="1" ht="15.6" spans="4:9">
      <c r="D213" s="196"/>
      <c r="I213" s="138"/>
    </row>
    <row r="214" s="135" customFormat="1" ht="15.6" spans="4:9">
      <c r="D214" s="196"/>
      <c r="I214" s="138"/>
    </row>
    <row r="215" s="135" customFormat="1" ht="15.6" spans="4:9">
      <c r="D215" s="196"/>
      <c r="I215" s="138"/>
    </row>
    <row r="216" s="135" customFormat="1" ht="15.6" spans="4:9">
      <c r="D216" s="196"/>
      <c r="I216" s="138"/>
    </row>
    <row r="217" s="135" customFormat="1" ht="15.6" spans="4:9">
      <c r="D217" s="196"/>
      <c r="I217" s="138"/>
    </row>
    <row r="218" s="135" customFormat="1" ht="15.6" spans="4:9">
      <c r="D218" s="196"/>
      <c r="I218" s="138"/>
    </row>
    <row r="219" s="135" customFormat="1" ht="15.6" spans="4:9">
      <c r="D219" s="196"/>
      <c r="I219" s="138"/>
    </row>
    <row r="220" s="135" customFormat="1" ht="15.6" spans="4:9">
      <c r="D220" s="196"/>
      <c r="I220" s="138"/>
    </row>
    <row r="221" s="135" customFormat="1" ht="15.6" spans="4:9">
      <c r="D221" s="196"/>
      <c r="I221" s="138"/>
    </row>
    <row r="222" s="135" customFormat="1" ht="15.6" spans="4:9">
      <c r="D222" s="196"/>
      <c r="I222" s="138"/>
    </row>
    <row r="223" s="135" customFormat="1" ht="15.6" spans="4:9">
      <c r="D223" s="196"/>
      <c r="I223" s="138"/>
    </row>
    <row r="224" s="135" customFormat="1" ht="15.6" spans="4:9">
      <c r="D224" s="196"/>
      <c r="I224" s="138"/>
    </row>
    <row r="225" s="135" customFormat="1" ht="15.6" spans="4:9">
      <c r="D225" s="196"/>
      <c r="I225" s="138"/>
    </row>
    <row r="226" s="135" customFormat="1" ht="15.6" spans="4:9">
      <c r="D226" s="196"/>
      <c r="I226" s="138"/>
    </row>
    <row r="227" s="135" customFormat="1" ht="15.6" spans="4:9">
      <c r="D227" s="196"/>
      <c r="I227" s="138"/>
    </row>
    <row r="228" s="135" customFormat="1" ht="15.6" spans="4:9">
      <c r="D228" s="196"/>
      <c r="I228" s="138"/>
    </row>
    <row r="229" s="135" customFormat="1" ht="15.6" spans="4:9">
      <c r="D229" s="196"/>
      <c r="I229" s="138"/>
    </row>
    <row r="230" s="135" customFormat="1" ht="15.6" spans="4:9">
      <c r="D230" s="196"/>
      <c r="I230" s="138"/>
    </row>
    <row r="231" s="135" customFormat="1" ht="15.6" spans="4:9">
      <c r="D231" s="196"/>
      <c r="I231" s="138"/>
    </row>
    <row r="232" s="135" customFormat="1" ht="15.6" spans="4:9">
      <c r="D232" s="196"/>
      <c r="I232" s="138"/>
    </row>
    <row r="233" s="135" customFormat="1" ht="15.6" spans="4:9">
      <c r="D233" s="196"/>
      <c r="I233" s="138"/>
    </row>
    <row r="234" s="135" customFormat="1" ht="15.6" spans="4:9">
      <c r="D234" s="196"/>
      <c r="I234" s="138"/>
    </row>
    <row r="235" s="135" customFormat="1" ht="15.6" spans="4:9">
      <c r="D235" s="196"/>
      <c r="I235" s="138"/>
    </row>
    <row r="236" s="135" customFormat="1" ht="15.6" spans="4:9">
      <c r="D236" s="196"/>
      <c r="I236" s="138"/>
    </row>
    <row r="237" s="135" customFormat="1" ht="15.6" spans="4:9">
      <c r="D237" s="196"/>
      <c r="I237" s="138"/>
    </row>
    <row r="238" s="135" customFormat="1" ht="15.6" spans="4:9">
      <c r="D238" s="196"/>
      <c r="I238" s="138"/>
    </row>
    <row r="239" s="135" customFormat="1" ht="15.6" spans="4:9">
      <c r="D239" s="196"/>
      <c r="I239" s="138"/>
    </row>
    <row r="240" s="135" customFormat="1" ht="15.6" spans="4:9">
      <c r="D240" s="196"/>
      <c r="I240" s="138"/>
    </row>
    <row r="241" s="135" customFormat="1" ht="15.6" spans="4:9">
      <c r="D241" s="196"/>
      <c r="I241" s="138"/>
    </row>
    <row r="242" s="135" customFormat="1" ht="15.6" spans="4:9">
      <c r="D242" s="196"/>
      <c r="I242" s="138"/>
    </row>
    <row r="243" s="135" customFormat="1" ht="15.6" spans="4:9">
      <c r="D243" s="196"/>
      <c r="I243" s="138"/>
    </row>
    <row r="244" s="135" customFormat="1" ht="15.6" spans="4:9">
      <c r="D244" s="196"/>
      <c r="I244" s="138"/>
    </row>
    <row r="245" s="135" customFormat="1" ht="15.6" spans="4:9">
      <c r="D245" s="196"/>
      <c r="I245" s="138"/>
    </row>
    <row r="246" s="135" customFormat="1" ht="15.6" spans="4:9">
      <c r="D246" s="196"/>
      <c r="I246" s="138"/>
    </row>
    <row r="247" s="135" customFormat="1" ht="15.6" spans="4:9">
      <c r="D247" s="196"/>
      <c r="I247" s="138"/>
    </row>
    <row r="248" s="135" customFormat="1" ht="15.6" spans="4:9">
      <c r="D248" s="196"/>
      <c r="I248" s="138"/>
    </row>
    <row r="249" s="135" customFormat="1" ht="15.6" spans="4:9">
      <c r="D249" s="196"/>
      <c r="I249" s="138"/>
    </row>
    <row r="250" s="135" customFormat="1" ht="15.6" spans="4:9">
      <c r="D250" s="196"/>
      <c r="I250" s="138"/>
    </row>
    <row r="251" s="135" customFormat="1" ht="15.6" spans="4:9">
      <c r="D251" s="196"/>
      <c r="I251" s="138"/>
    </row>
    <row r="252" s="135" customFormat="1" ht="15.6" spans="4:9">
      <c r="D252" s="196"/>
      <c r="I252" s="138"/>
    </row>
    <row r="253" s="135" customFormat="1" ht="15.6" spans="4:9">
      <c r="D253" s="196"/>
      <c r="I253" s="138"/>
    </row>
    <row r="254" s="135" customFormat="1" ht="15.6" spans="4:9">
      <c r="D254" s="196"/>
      <c r="I254" s="138"/>
    </row>
    <row r="255" s="135" customFormat="1" ht="15.6" spans="4:9">
      <c r="D255" s="196"/>
      <c r="I255" s="138"/>
    </row>
    <row r="256" s="135" customFormat="1" ht="15.6" spans="4:9">
      <c r="D256" s="196"/>
      <c r="I256" s="138"/>
    </row>
  </sheetData>
  <mergeCells count="14">
    <mergeCell ref="A2:O2"/>
    <mergeCell ref="B4:I4"/>
    <mergeCell ref="J4:O4"/>
    <mergeCell ref="H5:I5"/>
    <mergeCell ref="K5:M5"/>
    <mergeCell ref="N5:O5"/>
    <mergeCell ref="A4:A6"/>
    <mergeCell ref="B5:B6"/>
    <mergeCell ref="C5:C6"/>
    <mergeCell ref="D5:D6"/>
    <mergeCell ref="E5:E6"/>
    <mergeCell ref="F5:F6"/>
    <mergeCell ref="G5:G6"/>
    <mergeCell ref="J5:J6"/>
  </mergeCells>
  <pageMargins left="0.393055555555556" right="0.161111111111111" top="0.409027777777778" bottom="0.60625" header="0.5" footer="0.5"/>
  <pageSetup paperSize="9" firstPageNumber="110" orientation="landscape" useFirstPageNumber="1" horizontalDpi="600"/>
  <headerFooter>
    <oddFooter>&amp;C第 &amp;P 页</oddFooter>
  </headerFooter>
  <ignoredErrors>
    <ignoredError sqref="I68" unlocked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6"/>
  <sheetViews>
    <sheetView showZeros="0" topLeftCell="A22" workbookViewId="0">
      <selection activeCell="J17" sqref="J17"/>
    </sheetView>
  </sheetViews>
  <sheetFormatPr defaultColWidth="10" defaultRowHeight="15.6"/>
  <cols>
    <col min="1" max="1" width="12.2222222222222" style="22" customWidth="1"/>
    <col min="2" max="2" width="21.1111111111111" style="22" customWidth="1"/>
    <col min="3" max="3" width="14.8611111111111" style="83" customWidth="1"/>
    <col min="4" max="4" width="15.1388888888889" style="84" customWidth="1"/>
    <col min="5" max="5" width="13.6111111111111" style="84" customWidth="1"/>
    <col min="6" max="7" width="11.5277777777778" style="84" customWidth="1"/>
    <col min="8" max="8" width="32.9166666666667" style="85" customWidth="1"/>
    <col min="9" max="9" width="3.05555555555556" style="22" hidden="1" customWidth="1"/>
    <col min="10" max="16384" width="10" style="22"/>
  </cols>
  <sheetData>
    <row r="1" s="22" customFormat="1" ht="24" customHeight="1" spans="1:8">
      <c r="A1" s="86" t="s">
        <v>1988</v>
      </c>
      <c r="C1" s="83"/>
      <c r="D1" s="84"/>
      <c r="E1" s="84"/>
      <c r="F1" s="84"/>
      <c r="G1" s="84"/>
      <c r="H1" s="85"/>
    </row>
    <row r="2" s="22" customFormat="1" ht="33" customHeight="1" spans="1:9">
      <c r="A2" s="87" t="s">
        <v>1989</v>
      </c>
      <c r="B2" s="87"/>
      <c r="C2" s="88"/>
      <c r="D2" s="89"/>
      <c r="E2" s="89"/>
      <c r="F2" s="89"/>
      <c r="G2" s="89"/>
      <c r="H2" s="88"/>
      <c r="I2" s="87"/>
    </row>
    <row r="3" s="22" customFormat="1" ht="24" customHeight="1" spans="3:9">
      <c r="C3" s="83"/>
      <c r="D3" s="84"/>
      <c r="E3" s="84"/>
      <c r="F3" s="84"/>
      <c r="G3" s="84"/>
      <c r="H3" s="83" t="s">
        <v>2</v>
      </c>
      <c r="I3" s="22" t="s">
        <v>2</v>
      </c>
    </row>
    <row r="4" s="22" customFormat="1" ht="29" customHeight="1" spans="1:9">
      <c r="A4" s="90" t="s">
        <v>278</v>
      </c>
      <c r="B4" s="91" t="s">
        <v>279</v>
      </c>
      <c r="C4" s="91" t="s">
        <v>280</v>
      </c>
      <c r="D4" s="92" t="s">
        <v>123</v>
      </c>
      <c r="E4" s="93" t="s">
        <v>1894</v>
      </c>
      <c r="F4" s="93" t="s">
        <v>288</v>
      </c>
      <c r="G4" s="93" t="s">
        <v>289</v>
      </c>
      <c r="H4" s="91" t="s">
        <v>169</v>
      </c>
      <c r="I4" s="91" t="s">
        <v>169</v>
      </c>
    </row>
    <row r="5" s="22" customFormat="1" ht="16" customHeight="1" spans="1:9">
      <c r="A5" s="90"/>
      <c r="B5" s="91"/>
      <c r="C5" s="91"/>
      <c r="D5" s="92"/>
      <c r="E5" s="94"/>
      <c r="F5" s="94"/>
      <c r="G5" s="94"/>
      <c r="H5" s="91"/>
      <c r="I5" s="91"/>
    </row>
    <row r="6" s="22" customFormat="1" ht="25" customHeight="1" spans="1:9">
      <c r="A6" s="90"/>
      <c r="B6" s="95" t="s">
        <v>1990</v>
      </c>
      <c r="C6" s="96"/>
      <c r="D6" s="97">
        <f>SUM(D7,D11,D15,D25,D22)</f>
        <v>34722.26</v>
      </c>
      <c r="E6" s="97">
        <f>SUM(E7,E15,E25)</f>
        <v>21148</v>
      </c>
      <c r="F6" s="97">
        <f>SUM(F7,F15,F2,F11,F25)</f>
        <v>13002</v>
      </c>
      <c r="G6" s="97">
        <f>SUM(G7,G15,G25,G11,G22)</f>
        <v>572.26</v>
      </c>
      <c r="H6" s="91"/>
      <c r="I6" s="91"/>
    </row>
    <row r="7" s="81" customFormat="1" ht="33" customHeight="1" spans="1:9">
      <c r="A7" s="98">
        <v>207</v>
      </c>
      <c r="B7" s="99" t="s">
        <v>831</v>
      </c>
      <c r="C7" s="91"/>
      <c r="D7" s="97">
        <f t="shared" ref="D7:G7" si="0">D8</f>
        <v>4</v>
      </c>
      <c r="E7" s="97">
        <f t="shared" si="0"/>
        <v>0</v>
      </c>
      <c r="F7" s="97">
        <f t="shared" si="0"/>
        <v>0</v>
      </c>
      <c r="G7" s="97">
        <f t="shared" si="0"/>
        <v>4</v>
      </c>
      <c r="H7" s="91"/>
      <c r="I7" s="91"/>
    </row>
    <row r="8" s="82" customFormat="1" ht="32" customHeight="1" spans="1:9">
      <c r="A8" s="100">
        <v>20707</v>
      </c>
      <c r="B8" s="101" t="s">
        <v>1991</v>
      </c>
      <c r="C8" s="102"/>
      <c r="D8" s="103">
        <f>SUM(D9:D10)</f>
        <v>4</v>
      </c>
      <c r="E8" s="103">
        <f>E9</f>
        <v>0</v>
      </c>
      <c r="F8" s="103">
        <f>F9</f>
        <v>0</v>
      </c>
      <c r="G8" s="103">
        <f>SUM(G9:G10)</f>
        <v>4</v>
      </c>
      <c r="H8" s="104"/>
      <c r="I8" s="104"/>
    </row>
    <row r="9" s="82" customFormat="1" ht="28" customHeight="1" spans="1:9">
      <c r="A9" s="105">
        <v>2070701</v>
      </c>
      <c r="B9" s="101" t="s">
        <v>1992</v>
      </c>
      <c r="C9" s="104" t="s">
        <v>1993</v>
      </c>
      <c r="D9" s="103">
        <f t="shared" ref="D9:D18" si="1">SUM(E9:G9)</f>
        <v>1</v>
      </c>
      <c r="E9" s="103"/>
      <c r="F9" s="103"/>
      <c r="G9" s="103">
        <v>1</v>
      </c>
      <c r="H9" s="101" t="s">
        <v>1994</v>
      </c>
      <c r="I9" s="104"/>
    </row>
    <row r="10" s="82" customFormat="1" ht="29" customHeight="1" spans="1:9">
      <c r="A10" s="105">
        <v>2070799</v>
      </c>
      <c r="B10" s="106" t="s">
        <v>1995</v>
      </c>
      <c r="C10" s="104" t="s">
        <v>1993</v>
      </c>
      <c r="D10" s="103">
        <f t="shared" si="1"/>
        <v>3</v>
      </c>
      <c r="E10" s="107"/>
      <c r="F10" s="107"/>
      <c r="G10" s="107">
        <v>3</v>
      </c>
      <c r="H10" s="101" t="s">
        <v>1996</v>
      </c>
      <c r="I10" s="101" t="s">
        <v>1997</v>
      </c>
    </row>
    <row r="11" s="82" customFormat="1" ht="29" customHeight="1" spans="1:9">
      <c r="A11" s="108">
        <v>208</v>
      </c>
      <c r="B11" s="109" t="s">
        <v>918</v>
      </c>
      <c r="C11" s="104"/>
      <c r="D11" s="97">
        <f>D12+D14</f>
        <v>119</v>
      </c>
      <c r="E11" s="110"/>
      <c r="F11" s="110">
        <f>F12</f>
        <v>45</v>
      </c>
      <c r="G11" s="110">
        <f>G12+G14</f>
        <v>74</v>
      </c>
      <c r="H11" s="101"/>
      <c r="I11" s="101"/>
    </row>
    <row r="12" s="82" customFormat="1" ht="29" customHeight="1" spans="1:9">
      <c r="A12" s="100">
        <v>20822</v>
      </c>
      <c r="B12" s="101" t="s">
        <v>1998</v>
      </c>
      <c r="C12" s="104"/>
      <c r="D12" s="103">
        <f t="shared" si="1"/>
        <v>94</v>
      </c>
      <c r="E12" s="107"/>
      <c r="F12" s="107">
        <v>45</v>
      </c>
      <c r="G12" s="107">
        <v>49</v>
      </c>
      <c r="H12" s="101" t="s">
        <v>1999</v>
      </c>
      <c r="I12" s="101"/>
    </row>
    <row r="13" s="82" customFormat="1" ht="29" customHeight="1" spans="1:9">
      <c r="A13" s="105">
        <v>2082201</v>
      </c>
      <c r="B13" s="101" t="s">
        <v>1999</v>
      </c>
      <c r="C13" s="104" t="s">
        <v>569</v>
      </c>
      <c r="D13" s="103">
        <f t="shared" si="1"/>
        <v>0</v>
      </c>
      <c r="E13" s="107"/>
      <c r="F13" s="107"/>
      <c r="G13" s="107"/>
      <c r="H13" s="101"/>
      <c r="I13" s="101"/>
    </row>
    <row r="14" s="82" customFormat="1" ht="29" customHeight="1" spans="1:9">
      <c r="A14" s="105">
        <v>2082302</v>
      </c>
      <c r="B14" s="101" t="s">
        <v>2000</v>
      </c>
      <c r="C14" s="104" t="s">
        <v>569</v>
      </c>
      <c r="D14" s="103">
        <f t="shared" si="1"/>
        <v>25</v>
      </c>
      <c r="E14" s="107"/>
      <c r="F14" s="107"/>
      <c r="G14" s="107">
        <v>25</v>
      </c>
      <c r="H14" s="101" t="s">
        <v>2001</v>
      </c>
      <c r="I14" s="101"/>
    </row>
    <row r="15" s="81" customFormat="1" ht="24" customHeight="1" spans="1:9">
      <c r="A15" s="108">
        <v>212</v>
      </c>
      <c r="B15" s="109" t="s">
        <v>2002</v>
      </c>
      <c r="C15" s="111"/>
      <c r="D15" s="97">
        <f t="shared" si="1"/>
        <v>34003</v>
      </c>
      <c r="E15" s="97">
        <f t="shared" ref="E15:G15" si="2">SUM(E16,E18,E20)</f>
        <v>21068</v>
      </c>
      <c r="F15" s="97">
        <f t="shared" si="2"/>
        <v>12935</v>
      </c>
      <c r="G15" s="97">
        <f t="shared" si="2"/>
        <v>0</v>
      </c>
      <c r="H15" s="112"/>
      <c r="I15" s="109"/>
    </row>
    <row r="16" s="82" customFormat="1" ht="33" customHeight="1" spans="1:9">
      <c r="A16" s="113">
        <v>21208</v>
      </c>
      <c r="B16" s="114" t="s">
        <v>2003</v>
      </c>
      <c r="C16" s="115"/>
      <c r="D16" s="103">
        <f t="shared" si="1"/>
        <v>32813</v>
      </c>
      <c r="E16" s="116">
        <f t="shared" ref="E16:G16" si="3">E17</f>
        <v>20000</v>
      </c>
      <c r="F16" s="116">
        <f t="shared" si="3"/>
        <v>12813</v>
      </c>
      <c r="G16" s="116">
        <f t="shared" si="3"/>
        <v>0</v>
      </c>
      <c r="H16" s="114"/>
      <c r="I16" s="118"/>
    </row>
    <row r="17" s="82" customFormat="1" ht="174" customHeight="1" spans="1:9">
      <c r="A17" s="117">
        <v>2120801</v>
      </c>
      <c r="B17" s="118" t="s">
        <v>2004</v>
      </c>
      <c r="C17" s="115" t="s">
        <v>2005</v>
      </c>
      <c r="D17" s="103">
        <f t="shared" si="1"/>
        <v>32813</v>
      </c>
      <c r="E17" s="116">
        <v>20000</v>
      </c>
      <c r="F17" s="116">
        <v>12813</v>
      </c>
      <c r="G17" s="116">
        <v>0</v>
      </c>
      <c r="H17" s="114" t="s">
        <v>2006</v>
      </c>
      <c r="I17" s="118" t="s">
        <v>2007</v>
      </c>
    </row>
    <row r="18" s="22" customFormat="1" ht="31" customHeight="1" spans="1:9">
      <c r="A18" s="113">
        <v>21213</v>
      </c>
      <c r="B18" s="114" t="s">
        <v>2008</v>
      </c>
      <c r="C18" s="115"/>
      <c r="D18" s="103">
        <f t="shared" si="1"/>
        <v>488</v>
      </c>
      <c r="E18" s="116">
        <f t="shared" ref="E18:G18" si="4">E19</f>
        <v>488</v>
      </c>
      <c r="F18" s="116">
        <f t="shared" si="4"/>
        <v>0</v>
      </c>
      <c r="G18" s="116">
        <f t="shared" si="4"/>
        <v>0</v>
      </c>
      <c r="H18" s="119"/>
      <c r="I18" s="127"/>
    </row>
    <row r="19" s="22" customFormat="1" ht="28" customHeight="1" spans="1:9">
      <c r="A19" s="117">
        <v>2121301</v>
      </c>
      <c r="B19" s="118" t="s">
        <v>2009</v>
      </c>
      <c r="C19" s="115" t="s">
        <v>2010</v>
      </c>
      <c r="D19" s="103">
        <f>SUM(E19:F19)</f>
        <v>488</v>
      </c>
      <c r="E19" s="116">
        <v>488</v>
      </c>
      <c r="F19" s="116"/>
      <c r="G19" s="116"/>
      <c r="H19" s="114" t="s">
        <v>2011</v>
      </c>
      <c r="I19" s="118" t="s">
        <v>2012</v>
      </c>
    </row>
    <row r="20" s="22" customFormat="1" ht="23" customHeight="1" spans="1:9">
      <c r="A20" s="113">
        <v>21214</v>
      </c>
      <c r="B20" s="118" t="s">
        <v>2013</v>
      </c>
      <c r="C20" s="115"/>
      <c r="D20" s="103">
        <f>SUM(E20:G20)</f>
        <v>702</v>
      </c>
      <c r="E20" s="116">
        <f t="shared" ref="E20:G20" si="5">E21</f>
        <v>580</v>
      </c>
      <c r="F20" s="116">
        <f t="shared" si="5"/>
        <v>122</v>
      </c>
      <c r="G20" s="116">
        <f t="shared" si="5"/>
        <v>0</v>
      </c>
      <c r="H20" s="114"/>
      <c r="I20" s="118"/>
    </row>
    <row r="21" s="22" customFormat="1" ht="32" customHeight="1" spans="1:9">
      <c r="A21" s="118">
        <v>2121401</v>
      </c>
      <c r="B21" s="114" t="s">
        <v>2014</v>
      </c>
      <c r="C21" s="115" t="s">
        <v>2015</v>
      </c>
      <c r="D21" s="103">
        <f>SUM(E21:G21)</f>
        <v>702</v>
      </c>
      <c r="E21" s="116">
        <v>580</v>
      </c>
      <c r="F21" s="116">
        <v>122</v>
      </c>
      <c r="G21" s="116"/>
      <c r="H21" s="114" t="s">
        <v>2016</v>
      </c>
      <c r="I21" s="118" t="s">
        <v>2017</v>
      </c>
    </row>
    <row r="22" s="22" customFormat="1" ht="32" customHeight="1" spans="1:9">
      <c r="A22" s="108">
        <v>213</v>
      </c>
      <c r="B22" s="109" t="s">
        <v>1275</v>
      </c>
      <c r="C22" s="115"/>
      <c r="D22" s="97">
        <f>D23</f>
        <v>60</v>
      </c>
      <c r="E22" s="120"/>
      <c r="F22" s="120"/>
      <c r="G22" s="120">
        <f>G23</f>
        <v>60</v>
      </c>
      <c r="H22" s="114"/>
      <c r="I22" s="118"/>
    </row>
    <row r="23" s="22" customFormat="1" ht="32" customHeight="1" spans="1:9">
      <c r="A23" s="113">
        <v>21366</v>
      </c>
      <c r="B23" s="114" t="s">
        <v>2018</v>
      </c>
      <c r="C23" s="115"/>
      <c r="D23" s="103">
        <f>D24</f>
        <v>60</v>
      </c>
      <c r="E23" s="116"/>
      <c r="F23" s="116"/>
      <c r="G23" s="116">
        <f>G24</f>
        <v>60</v>
      </c>
      <c r="H23" s="114"/>
      <c r="I23" s="118"/>
    </row>
    <row r="24" s="22" customFormat="1" ht="32" customHeight="1" spans="1:9">
      <c r="A24" s="118">
        <v>2136601</v>
      </c>
      <c r="B24" s="114" t="s">
        <v>2000</v>
      </c>
      <c r="C24" s="104" t="s">
        <v>569</v>
      </c>
      <c r="D24" s="103">
        <f>E24+F24+G24</f>
        <v>60</v>
      </c>
      <c r="E24" s="116"/>
      <c r="F24" s="116"/>
      <c r="G24" s="116">
        <v>60</v>
      </c>
      <c r="H24" s="114" t="s">
        <v>2019</v>
      </c>
      <c r="I24" s="118"/>
    </row>
    <row r="25" s="22" customFormat="1" ht="26" customHeight="1" spans="1:9">
      <c r="A25" s="121">
        <v>229</v>
      </c>
      <c r="B25" s="122" t="s">
        <v>1672</v>
      </c>
      <c r="C25" s="123"/>
      <c r="D25" s="124">
        <f t="shared" ref="D25:G25" si="6">SUM(D26:D31)</f>
        <v>536.26</v>
      </c>
      <c r="E25" s="124">
        <f t="shared" si="6"/>
        <v>80</v>
      </c>
      <c r="F25" s="124">
        <f t="shared" si="6"/>
        <v>22</v>
      </c>
      <c r="G25" s="124">
        <f t="shared" si="6"/>
        <v>434.26</v>
      </c>
      <c r="H25" s="119"/>
      <c r="I25" s="127"/>
    </row>
    <row r="26" s="22" customFormat="1" ht="34" customHeight="1" spans="1:9">
      <c r="A26" s="125">
        <v>2290401</v>
      </c>
      <c r="B26" s="119" t="s">
        <v>2020</v>
      </c>
      <c r="C26" s="123"/>
      <c r="D26" s="126">
        <f t="shared" ref="D26:D31" si="7">SUM(E26:G26)</f>
        <v>102</v>
      </c>
      <c r="E26" s="126">
        <v>80</v>
      </c>
      <c r="F26" s="126">
        <v>22</v>
      </c>
      <c r="G26" s="126"/>
      <c r="H26" s="114" t="s">
        <v>2021</v>
      </c>
      <c r="I26" s="127"/>
    </row>
    <row r="27" s="22" customFormat="1" ht="33" customHeight="1" spans="1:9">
      <c r="A27" s="125">
        <v>2296002</v>
      </c>
      <c r="B27" s="119" t="s">
        <v>2022</v>
      </c>
      <c r="C27" s="123"/>
      <c r="D27" s="126">
        <f t="shared" si="7"/>
        <v>73</v>
      </c>
      <c r="E27" s="126"/>
      <c r="F27" s="126"/>
      <c r="G27" s="126">
        <v>73</v>
      </c>
      <c r="H27" s="114" t="s">
        <v>2023</v>
      </c>
      <c r="I27" s="127" t="s">
        <v>2024</v>
      </c>
    </row>
    <row r="28" s="22" customFormat="1" ht="33" customHeight="1" spans="1:9">
      <c r="A28" s="125">
        <v>2296003</v>
      </c>
      <c r="B28" s="119" t="s">
        <v>2025</v>
      </c>
      <c r="C28" s="123"/>
      <c r="D28" s="126">
        <f t="shared" si="7"/>
        <v>10</v>
      </c>
      <c r="E28" s="126"/>
      <c r="F28" s="126"/>
      <c r="G28" s="126">
        <v>10</v>
      </c>
      <c r="H28" s="114"/>
      <c r="I28" s="127"/>
    </row>
    <row r="29" s="22" customFormat="1" ht="33" customHeight="1" spans="1:9">
      <c r="A29" s="125">
        <v>2296004</v>
      </c>
      <c r="B29" s="119" t="s">
        <v>2026</v>
      </c>
      <c r="C29" s="123"/>
      <c r="D29" s="126">
        <f t="shared" si="7"/>
        <v>100</v>
      </c>
      <c r="E29" s="126"/>
      <c r="F29" s="126"/>
      <c r="G29" s="126">
        <v>100</v>
      </c>
      <c r="H29" s="114" t="s">
        <v>2027</v>
      </c>
      <c r="I29" s="127"/>
    </row>
    <row r="30" s="22" customFormat="1" ht="76" customHeight="1" spans="1:9">
      <c r="A30" s="125">
        <v>2296006</v>
      </c>
      <c r="B30" s="119" t="s">
        <v>2028</v>
      </c>
      <c r="C30" s="123"/>
      <c r="D30" s="126">
        <f t="shared" si="7"/>
        <v>168</v>
      </c>
      <c r="E30" s="126"/>
      <c r="F30" s="126"/>
      <c r="G30" s="126">
        <v>168</v>
      </c>
      <c r="H30" s="114" t="s">
        <v>2029</v>
      </c>
      <c r="I30" s="127"/>
    </row>
    <row r="31" s="22" customFormat="1" ht="33" customHeight="1" spans="1:9">
      <c r="A31" s="127">
        <v>2296013</v>
      </c>
      <c r="B31" s="119" t="s">
        <v>2030</v>
      </c>
      <c r="C31" s="123"/>
      <c r="D31" s="126">
        <f t="shared" si="7"/>
        <v>83.26</v>
      </c>
      <c r="E31" s="126"/>
      <c r="F31" s="126"/>
      <c r="G31" s="126">
        <v>83.26</v>
      </c>
      <c r="H31" s="114" t="s">
        <v>2031</v>
      </c>
      <c r="I31" s="127" t="s">
        <v>2032</v>
      </c>
    </row>
    <row r="32" s="22" customFormat="1" spans="3:8">
      <c r="C32" s="83"/>
      <c r="D32" s="84"/>
      <c r="E32" s="84"/>
      <c r="F32" s="84"/>
      <c r="G32" s="84"/>
      <c r="H32" s="85"/>
    </row>
    <row r="33" s="22" customFormat="1" spans="3:8">
      <c r="C33" s="83"/>
      <c r="D33" s="84"/>
      <c r="E33" s="84"/>
      <c r="F33" s="84"/>
      <c r="G33" s="84"/>
      <c r="H33" s="85"/>
    </row>
    <row r="34" s="22" customFormat="1" spans="3:8">
      <c r="C34" s="83"/>
      <c r="D34" s="84"/>
      <c r="E34" s="84"/>
      <c r="F34" s="84"/>
      <c r="G34" s="84"/>
      <c r="H34" s="85"/>
    </row>
    <row r="35" s="22" customFormat="1" spans="3:8">
      <c r="C35" s="83"/>
      <c r="D35" s="84"/>
      <c r="E35" s="84"/>
      <c r="F35" s="84"/>
      <c r="G35" s="84"/>
      <c r="H35" s="85"/>
    </row>
    <row r="36" s="22" customFormat="1" spans="3:8">
      <c r="C36" s="83"/>
      <c r="D36" s="84"/>
      <c r="E36" s="84"/>
      <c r="F36" s="84"/>
      <c r="G36" s="84"/>
      <c r="H36" s="85"/>
    </row>
    <row r="37" s="22" customFormat="1" spans="3:8">
      <c r="C37" s="83"/>
      <c r="D37" s="84"/>
      <c r="E37" s="84"/>
      <c r="F37" s="84"/>
      <c r="G37" s="84"/>
      <c r="H37" s="85"/>
    </row>
    <row r="38" s="22" customFormat="1" spans="3:8">
      <c r="C38" s="83"/>
      <c r="D38" s="84"/>
      <c r="E38" s="84"/>
      <c r="F38" s="84"/>
      <c r="G38" s="84"/>
      <c r="H38" s="85"/>
    </row>
    <row r="39" s="22" customFormat="1" spans="3:8">
      <c r="C39" s="83"/>
      <c r="D39" s="84"/>
      <c r="E39" s="84"/>
      <c r="F39" s="84"/>
      <c r="G39" s="84"/>
      <c r="H39" s="85"/>
    </row>
    <row r="40" s="22" customFormat="1" spans="3:8">
      <c r="C40" s="83"/>
      <c r="D40" s="84"/>
      <c r="E40" s="84"/>
      <c r="F40" s="84"/>
      <c r="G40" s="84"/>
      <c r="H40" s="85"/>
    </row>
    <row r="41" s="22" customFormat="1" spans="3:8">
      <c r="C41" s="83"/>
      <c r="D41" s="84"/>
      <c r="E41" s="84"/>
      <c r="F41" s="84"/>
      <c r="G41" s="84"/>
      <c r="H41" s="85"/>
    </row>
    <row r="42" s="22" customFormat="1" spans="3:8">
      <c r="C42" s="83"/>
      <c r="D42" s="84"/>
      <c r="E42" s="84"/>
      <c r="F42" s="84"/>
      <c r="G42" s="84"/>
      <c r="H42" s="85"/>
    </row>
    <row r="43" s="22" customFormat="1" spans="3:8">
      <c r="C43" s="83"/>
      <c r="D43" s="84"/>
      <c r="E43" s="84"/>
      <c r="F43" s="84"/>
      <c r="G43" s="84"/>
      <c r="H43" s="85"/>
    </row>
    <row r="44" s="22" customFormat="1" spans="3:8">
      <c r="C44" s="83"/>
      <c r="D44" s="84"/>
      <c r="E44" s="84"/>
      <c r="F44" s="84"/>
      <c r="G44" s="84"/>
      <c r="H44" s="85"/>
    </row>
    <row r="45" s="22" customFormat="1" spans="3:8">
      <c r="C45" s="83"/>
      <c r="D45" s="84"/>
      <c r="E45" s="84"/>
      <c r="F45" s="84"/>
      <c r="G45" s="84"/>
      <c r="H45" s="85"/>
    </row>
    <row r="46" s="22" customFormat="1" spans="3:8">
      <c r="C46" s="83"/>
      <c r="D46" s="84"/>
      <c r="E46" s="84"/>
      <c r="F46" s="84"/>
      <c r="G46" s="84"/>
      <c r="H46" s="85"/>
    </row>
    <row r="47" s="22" customFormat="1" spans="3:8">
      <c r="C47" s="83"/>
      <c r="D47" s="84"/>
      <c r="E47" s="84"/>
      <c r="F47" s="84"/>
      <c r="G47" s="84"/>
      <c r="H47" s="85"/>
    </row>
    <row r="48" s="22" customFormat="1" spans="3:8">
      <c r="C48" s="83"/>
      <c r="D48" s="84"/>
      <c r="E48" s="84"/>
      <c r="F48" s="84"/>
      <c r="G48" s="84"/>
      <c r="H48" s="85"/>
    </row>
    <row r="49" s="22" customFormat="1" spans="3:8">
      <c r="C49" s="83"/>
      <c r="D49" s="84"/>
      <c r="E49" s="84"/>
      <c r="F49" s="84"/>
      <c r="G49" s="84"/>
      <c r="H49" s="85"/>
    </row>
    <row r="50" s="22" customFormat="1" spans="3:8">
      <c r="C50" s="83"/>
      <c r="D50" s="84"/>
      <c r="E50" s="84"/>
      <c r="F50" s="84"/>
      <c r="G50" s="84"/>
      <c r="H50" s="85"/>
    </row>
    <row r="51" s="22" customFormat="1" spans="3:8">
      <c r="C51" s="83"/>
      <c r="D51" s="84"/>
      <c r="E51" s="84"/>
      <c r="F51" s="84"/>
      <c r="G51" s="84"/>
      <c r="H51" s="85"/>
    </row>
    <row r="52" s="22" customFormat="1" spans="3:8">
      <c r="C52" s="83"/>
      <c r="D52" s="84"/>
      <c r="E52" s="84"/>
      <c r="F52" s="84"/>
      <c r="G52" s="84"/>
      <c r="H52" s="85"/>
    </row>
    <row r="53" s="22" customFormat="1" spans="3:8">
      <c r="C53" s="83"/>
      <c r="D53" s="84"/>
      <c r="E53" s="84"/>
      <c r="F53" s="84"/>
      <c r="G53" s="84"/>
      <c r="H53" s="85"/>
    </row>
    <row r="54" s="22" customFormat="1" spans="3:8">
      <c r="C54" s="83"/>
      <c r="D54" s="84"/>
      <c r="E54" s="84"/>
      <c r="F54" s="84"/>
      <c r="G54" s="84"/>
      <c r="H54" s="85"/>
    </row>
    <row r="55" s="22" customFormat="1" spans="3:8">
      <c r="C55" s="83"/>
      <c r="D55" s="84"/>
      <c r="E55" s="84"/>
      <c r="F55" s="84"/>
      <c r="G55" s="84"/>
      <c r="H55" s="85"/>
    </row>
    <row r="56" s="22" customFormat="1" spans="3:8">
      <c r="C56" s="83"/>
      <c r="D56" s="84"/>
      <c r="E56" s="84"/>
      <c r="F56" s="84"/>
      <c r="G56" s="84"/>
      <c r="H56" s="85"/>
    </row>
    <row r="57" s="22" customFormat="1" spans="3:8">
      <c r="C57" s="83"/>
      <c r="D57" s="84"/>
      <c r="E57" s="84"/>
      <c r="F57" s="84"/>
      <c r="G57" s="84"/>
      <c r="H57" s="85"/>
    </row>
    <row r="58" s="22" customFormat="1" spans="3:8">
      <c r="C58" s="83"/>
      <c r="D58" s="84"/>
      <c r="E58" s="84"/>
      <c r="F58" s="84"/>
      <c r="G58" s="84"/>
      <c r="H58" s="85"/>
    </row>
    <row r="59" s="22" customFormat="1" spans="3:8">
      <c r="C59" s="83"/>
      <c r="D59" s="84"/>
      <c r="E59" s="84"/>
      <c r="F59" s="84"/>
      <c r="G59" s="84"/>
      <c r="H59" s="85"/>
    </row>
    <row r="60" s="22" customFormat="1" spans="3:8">
      <c r="C60" s="83"/>
      <c r="D60" s="84"/>
      <c r="E60" s="84"/>
      <c r="F60" s="84"/>
      <c r="G60" s="84"/>
      <c r="H60" s="85"/>
    </row>
    <row r="61" s="22" customFormat="1" spans="3:8">
      <c r="C61" s="83"/>
      <c r="D61" s="84"/>
      <c r="E61" s="84"/>
      <c r="F61" s="84"/>
      <c r="G61" s="84"/>
      <c r="H61" s="85"/>
    </row>
    <row r="62" s="22" customFormat="1" spans="3:8">
      <c r="C62" s="83"/>
      <c r="D62" s="84"/>
      <c r="E62" s="84"/>
      <c r="F62" s="84"/>
      <c r="G62" s="84"/>
      <c r="H62" s="85"/>
    </row>
    <row r="63" s="22" customFormat="1" spans="3:8">
      <c r="C63" s="83"/>
      <c r="D63" s="84"/>
      <c r="E63" s="84"/>
      <c r="F63" s="84"/>
      <c r="G63" s="84"/>
      <c r="H63" s="85"/>
    </row>
    <row r="64" s="22" customFormat="1" spans="3:8">
      <c r="C64" s="83"/>
      <c r="D64" s="84"/>
      <c r="E64" s="84"/>
      <c r="F64" s="84"/>
      <c r="G64" s="84"/>
      <c r="H64" s="85"/>
    </row>
    <row r="65" s="22" customFormat="1" spans="3:8">
      <c r="C65" s="83"/>
      <c r="D65" s="84"/>
      <c r="E65" s="84"/>
      <c r="F65" s="84"/>
      <c r="G65" s="84"/>
      <c r="H65" s="85"/>
    </row>
    <row r="66" s="22" customFormat="1" spans="3:8">
      <c r="C66" s="83"/>
      <c r="D66" s="84"/>
      <c r="E66" s="84"/>
      <c r="F66" s="84"/>
      <c r="G66" s="84"/>
      <c r="H66" s="85"/>
    </row>
    <row r="67" s="22" customFormat="1" spans="3:8">
      <c r="C67" s="83"/>
      <c r="D67" s="84"/>
      <c r="E67" s="84"/>
      <c r="F67" s="84"/>
      <c r="G67" s="84"/>
      <c r="H67" s="85"/>
    </row>
    <row r="68" s="22" customFormat="1" spans="3:8">
      <c r="C68" s="83"/>
      <c r="D68" s="84"/>
      <c r="E68" s="84"/>
      <c r="F68" s="84"/>
      <c r="G68" s="84"/>
      <c r="H68" s="85"/>
    </row>
    <row r="69" s="22" customFormat="1" spans="3:8">
      <c r="C69" s="83"/>
      <c r="D69" s="84"/>
      <c r="E69" s="84"/>
      <c r="F69" s="84"/>
      <c r="G69" s="84"/>
      <c r="H69" s="85"/>
    </row>
    <row r="70" s="22" customFormat="1" spans="3:8">
      <c r="C70" s="83"/>
      <c r="D70" s="84"/>
      <c r="E70" s="84"/>
      <c r="F70" s="84"/>
      <c r="G70" s="84"/>
      <c r="H70" s="85"/>
    </row>
    <row r="71" s="22" customFormat="1" spans="3:8">
      <c r="C71" s="83"/>
      <c r="D71" s="84"/>
      <c r="E71" s="84"/>
      <c r="F71" s="84"/>
      <c r="G71" s="84"/>
      <c r="H71" s="85"/>
    </row>
    <row r="72" s="22" customFormat="1" spans="3:8">
      <c r="C72" s="83"/>
      <c r="D72" s="84"/>
      <c r="E72" s="84"/>
      <c r="F72" s="84"/>
      <c r="G72" s="84"/>
      <c r="H72" s="85"/>
    </row>
    <row r="73" s="22" customFormat="1" spans="3:8">
      <c r="C73" s="83"/>
      <c r="D73" s="84"/>
      <c r="E73" s="84"/>
      <c r="F73" s="84"/>
      <c r="G73" s="84"/>
      <c r="H73" s="85"/>
    </row>
    <row r="74" s="22" customFormat="1" spans="3:8">
      <c r="C74" s="83"/>
      <c r="D74" s="84"/>
      <c r="E74" s="84"/>
      <c r="F74" s="84"/>
      <c r="G74" s="84"/>
      <c r="H74" s="85"/>
    </row>
    <row r="75" s="22" customFormat="1" spans="3:8">
      <c r="C75" s="83"/>
      <c r="D75" s="84"/>
      <c r="E75" s="84"/>
      <c r="F75" s="84"/>
      <c r="G75" s="84"/>
      <c r="H75" s="85"/>
    </row>
    <row r="76" s="22" customFormat="1" spans="3:8">
      <c r="C76" s="83"/>
      <c r="D76" s="84"/>
      <c r="E76" s="84"/>
      <c r="F76" s="84"/>
      <c r="G76" s="84"/>
      <c r="H76" s="85"/>
    </row>
    <row r="77" s="22" customFormat="1" spans="3:8">
      <c r="C77" s="83"/>
      <c r="D77" s="84"/>
      <c r="E77" s="84"/>
      <c r="F77" s="84"/>
      <c r="G77" s="84"/>
      <c r="H77" s="85"/>
    </row>
    <row r="78" s="22" customFormat="1" spans="3:8">
      <c r="C78" s="83"/>
      <c r="D78" s="84"/>
      <c r="E78" s="84"/>
      <c r="F78" s="84"/>
      <c r="G78" s="84"/>
      <c r="H78" s="85"/>
    </row>
    <row r="79" s="22" customFormat="1" spans="3:8">
      <c r="C79" s="83"/>
      <c r="D79" s="84"/>
      <c r="E79" s="84"/>
      <c r="F79" s="84"/>
      <c r="G79" s="84"/>
      <c r="H79" s="85"/>
    </row>
    <row r="80" s="22" customFormat="1" spans="3:8">
      <c r="C80" s="83"/>
      <c r="D80" s="84"/>
      <c r="E80" s="84"/>
      <c r="F80" s="84"/>
      <c r="G80" s="84"/>
      <c r="H80" s="85"/>
    </row>
    <row r="81" s="22" customFormat="1" spans="3:8">
      <c r="C81" s="83"/>
      <c r="D81" s="84"/>
      <c r="E81" s="84"/>
      <c r="F81" s="84"/>
      <c r="G81" s="84"/>
      <c r="H81" s="85"/>
    </row>
    <row r="82" s="22" customFormat="1" spans="3:8">
      <c r="C82" s="83"/>
      <c r="D82" s="84"/>
      <c r="E82" s="84"/>
      <c r="F82" s="84"/>
      <c r="G82" s="84"/>
      <c r="H82" s="85"/>
    </row>
    <row r="83" s="22" customFormat="1" spans="3:8">
      <c r="C83" s="83"/>
      <c r="D83" s="84"/>
      <c r="E83" s="84"/>
      <c r="F83" s="84"/>
      <c r="G83" s="84"/>
      <c r="H83" s="85"/>
    </row>
    <row r="84" s="22" customFormat="1" spans="3:8">
      <c r="C84" s="83"/>
      <c r="D84" s="84"/>
      <c r="E84" s="84"/>
      <c r="F84" s="84"/>
      <c r="G84" s="84"/>
      <c r="H84" s="85"/>
    </row>
    <row r="85" s="22" customFormat="1" spans="3:8">
      <c r="C85" s="83"/>
      <c r="D85" s="84"/>
      <c r="E85" s="84"/>
      <c r="F85" s="84"/>
      <c r="G85" s="84"/>
      <c r="H85" s="85"/>
    </row>
    <row r="86" s="22" customFormat="1" spans="3:8">
      <c r="C86" s="83"/>
      <c r="D86" s="84"/>
      <c r="E86" s="84"/>
      <c r="F86" s="84"/>
      <c r="G86" s="84"/>
      <c r="H86" s="85"/>
    </row>
    <row r="87" s="22" customFormat="1" spans="3:8">
      <c r="C87" s="83"/>
      <c r="D87" s="84"/>
      <c r="E87" s="84"/>
      <c r="F87" s="84"/>
      <c r="G87" s="84"/>
      <c r="H87" s="85"/>
    </row>
    <row r="88" s="22" customFormat="1" spans="3:8">
      <c r="C88" s="83"/>
      <c r="D88" s="84"/>
      <c r="E88" s="84"/>
      <c r="F88" s="84"/>
      <c r="G88" s="84"/>
      <c r="H88" s="85"/>
    </row>
    <row r="89" s="22" customFormat="1" spans="3:8">
      <c r="C89" s="83"/>
      <c r="D89" s="84"/>
      <c r="E89" s="84"/>
      <c r="F89" s="84"/>
      <c r="G89" s="84"/>
      <c r="H89" s="85"/>
    </row>
    <row r="90" s="22" customFormat="1" spans="3:8">
      <c r="C90" s="83"/>
      <c r="D90" s="84"/>
      <c r="E90" s="84"/>
      <c r="F90" s="84"/>
      <c r="G90" s="84"/>
      <c r="H90" s="85"/>
    </row>
    <row r="91" s="22" customFormat="1" spans="3:8">
      <c r="C91" s="83"/>
      <c r="D91" s="84"/>
      <c r="E91" s="84"/>
      <c r="F91" s="84"/>
      <c r="G91" s="84"/>
      <c r="H91" s="85"/>
    </row>
    <row r="92" s="22" customFormat="1" spans="3:8">
      <c r="C92" s="83"/>
      <c r="D92" s="84"/>
      <c r="E92" s="84"/>
      <c r="F92" s="84"/>
      <c r="G92" s="84"/>
      <c r="H92" s="85"/>
    </row>
    <row r="93" s="22" customFormat="1" spans="3:8">
      <c r="C93" s="83"/>
      <c r="D93" s="84"/>
      <c r="E93" s="84"/>
      <c r="F93" s="84"/>
      <c r="G93" s="84"/>
      <c r="H93" s="85"/>
    </row>
    <row r="94" s="22" customFormat="1" spans="3:8">
      <c r="C94" s="83"/>
      <c r="D94" s="84"/>
      <c r="E94" s="84"/>
      <c r="F94" s="84"/>
      <c r="G94" s="84"/>
      <c r="H94" s="85"/>
    </row>
    <row r="95" s="22" customFormat="1" spans="3:8">
      <c r="C95" s="83"/>
      <c r="D95" s="84"/>
      <c r="E95" s="84"/>
      <c r="F95" s="84"/>
      <c r="G95" s="84"/>
      <c r="H95" s="85"/>
    </row>
    <row r="96" s="22" customFormat="1" spans="3:8">
      <c r="C96" s="83"/>
      <c r="D96" s="84"/>
      <c r="E96" s="84"/>
      <c r="F96" s="84"/>
      <c r="G96" s="84"/>
      <c r="H96" s="85"/>
    </row>
    <row r="97" s="22" customFormat="1" spans="3:8">
      <c r="C97" s="83"/>
      <c r="D97" s="84"/>
      <c r="E97" s="84"/>
      <c r="F97" s="84"/>
      <c r="G97" s="84"/>
      <c r="H97" s="85"/>
    </row>
    <row r="98" s="22" customFormat="1" spans="3:8">
      <c r="C98" s="83"/>
      <c r="D98" s="84"/>
      <c r="E98" s="84"/>
      <c r="F98" s="84"/>
      <c r="G98" s="84"/>
      <c r="H98" s="85"/>
    </row>
    <row r="99" s="22" customFormat="1" spans="3:8">
      <c r="C99" s="83"/>
      <c r="D99" s="84"/>
      <c r="E99" s="84"/>
      <c r="F99" s="84"/>
      <c r="G99" s="84"/>
      <c r="H99" s="85"/>
    </row>
    <row r="100" s="22" customFormat="1" spans="3:8">
      <c r="C100" s="83"/>
      <c r="D100" s="84"/>
      <c r="E100" s="84"/>
      <c r="F100" s="84"/>
      <c r="G100" s="84"/>
      <c r="H100" s="85"/>
    </row>
    <row r="101" s="22" customFormat="1" spans="3:8">
      <c r="C101" s="83"/>
      <c r="D101" s="84"/>
      <c r="E101" s="84"/>
      <c r="F101" s="84"/>
      <c r="G101" s="84"/>
      <c r="H101" s="85"/>
    </row>
    <row r="102" s="22" customFormat="1" spans="3:8">
      <c r="C102" s="83"/>
      <c r="D102" s="84"/>
      <c r="E102" s="84"/>
      <c r="F102" s="84"/>
      <c r="G102" s="84"/>
      <c r="H102" s="85"/>
    </row>
    <row r="103" s="22" customFormat="1" spans="3:8">
      <c r="C103" s="83"/>
      <c r="D103" s="84"/>
      <c r="E103" s="84"/>
      <c r="F103" s="84"/>
      <c r="G103" s="84"/>
      <c r="H103" s="85"/>
    </row>
    <row r="104" s="22" customFormat="1" spans="3:8">
      <c r="C104" s="83"/>
      <c r="D104" s="84"/>
      <c r="E104" s="84"/>
      <c r="F104" s="84"/>
      <c r="G104" s="84"/>
      <c r="H104" s="85"/>
    </row>
    <row r="105" s="22" customFormat="1" spans="3:8">
      <c r="C105" s="83"/>
      <c r="D105" s="84"/>
      <c r="E105" s="84"/>
      <c r="F105" s="84"/>
      <c r="G105" s="84"/>
      <c r="H105" s="85"/>
    </row>
    <row r="106" s="22" customFormat="1" spans="3:8">
      <c r="C106" s="83"/>
      <c r="D106" s="84"/>
      <c r="E106" s="84"/>
      <c r="F106" s="84"/>
      <c r="G106" s="84"/>
      <c r="H106" s="85"/>
    </row>
    <row r="107" s="22" customFormat="1" spans="3:8">
      <c r="C107" s="83"/>
      <c r="D107" s="84"/>
      <c r="E107" s="84"/>
      <c r="F107" s="84"/>
      <c r="G107" s="84"/>
      <c r="H107" s="85"/>
    </row>
    <row r="108" s="22" customFormat="1" spans="3:8">
      <c r="C108" s="83"/>
      <c r="D108" s="84"/>
      <c r="E108" s="84"/>
      <c r="F108" s="84"/>
      <c r="G108" s="84"/>
      <c r="H108" s="85"/>
    </row>
    <row r="109" s="22" customFormat="1" spans="3:8">
      <c r="C109" s="83"/>
      <c r="D109" s="84"/>
      <c r="E109" s="84"/>
      <c r="F109" s="84"/>
      <c r="G109" s="84"/>
      <c r="H109" s="85"/>
    </row>
    <row r="110" s="22" customFormat="1" spans="3:8">
      <c r="C110" s="83"/>
      <c r="D110" s="84"/>
      <c r="E110" s="84"/>
      <c r="F110" s="84"/>
      <c r="G110" s="84"/>
      <c r="H110" s="85"/>
    </row>
    <row r="111" s="22" customFormat="1" spans="3:8">
      <c r="C111" s="83"/>
      <c r="D111" s="84"/>
      <c r="E111" s="84"/>
      <c r="F111" s="84"/>
      <c r="G111" s="84"/>
      <c r="H111" s="85"/>
    </row>
    <row r="112" s="22" customFormat="1" spans="3:8">
      <c r="C112" s="83"/>
      <c r="D112" s="84"/>
      <c r="E112" s="84"/>
      <c r="F112" s="84"/>
      <c r="G112" s="84"/>
      <c r="H112" s="85"/>
    </row>
    <row r="113" s="22" customFormat="1" spans="3:8">
      <c r="C113" s="83"/>
      <c r="D113" s="84"/>
      <c r="E113" s="84"/>
      <c r="F113" s="84"/>
      <c r="G113" s="84"/>
      <c r="H113" s="85"/>
    </row>
    <row r="114" s="22" customFormat="1" spans="3:8">
      <c r="C114" s="83"/>
      <c r="D114" s="84"/>
      <c r="E114" s="84"/>
      <c r="F114" s="84"/>
      <c r="G114" s="84"/>
      <c r="H114" s="85"/>
    </row>
    <row r="115" s="22" customFormat="1" spans="3:8">
      <c r="C115" s="83"/>
      <c r="D115" s="84"/>
      <c r="E115" s="84"/>
      <c r="F115" s="84"/>
      <c r="G115" s="84"/>
      <c r="H115" s="85"/>
    </row>
    <row r="116" s="22" customFormat="1" spans="3:8">
      <c r="C116" s="83"/>
      <c r="D116" s="84"/>
      <c r="E116" s="84"/>
      <c r="F116" s="84"/>
      <c r="G116" s="84"/>
      <c r="H116" s="85"/>
    </row>
    <row r="117" s="22" customFormat="1" spans="3:8">
      <c r="C117" s="83"/>
      <c r="D117" s="84"/>
      <c r="E117" s="84"/>
      <c r="F117" s="84"/>
      <c r="G117" s="84"/>
      <c r="H117" s="85"/>
    </row>
    <row r="118" s="22" customFormat="1" spans="3:8">
      <c r="C118" s="83"/>
      <c r="D118" s="84"/>
      <c r="E118" s="84"/>
      <c r="F118" s="84"/>
      <c r="G118" s="84"/>
      <c r="H118" s="85"/>
    </row>
    <row r="119" s="22" customFormat="1" spans="3:8">
      <c r="C119" s="83"/>
      <c r="D119" s="84"/>
      <c r="E119" s="84"/>
      <c r="F119" s="84"/>
      <c r="G119" s="84"/>
      <c r="H119" s="85"/>
    </row>
    <row r="120" s="22" customFormat="1" spans="3:8">
      <c r="C120" s="83"/>
      <c r="D120" s="84"/>
      <c r="E120" s="84"/>
      <c r="F120" s="84"/>
      <c r="G120" s="84"/>
      <c r="H120" s="85"/>
    </row>
    <row r="121" s="22" customFormat="1" spans="3:8">
      <c r="C121" s="83"/>
      <c r="D121" s="84"/>
      <c r="E121" s="84"/>
      <c r="F121" s="84"/>
      <c r="G121" s="84"/>
      <c r="H121" s="85"/>
    </row>
    <row r="122" s="22" customFormat="1" spans="3:8">
      <c r="C122" s="83"/>
      <c r="D122" s="84"/>
      <c r="E122" s="84"/>
      <c r="F122" s="84"/>
      <c r="G122" s="84"/>
      <c r="H122" s="85"/>
    </row>
    <row r="123" s="22" customFormat="1" spans="3:8">
      <c r="C123" s="83"/>
      <c r="D123" s="84"/>
      <c r="E123" s="84"/>
      <c r="F123" s="84"/>
      <c r="G123" s="84"/>
      <c r="H123" s="85"/>
    </row>
    <row r="124" s="22" customFormat="1" spans="3:8">
      <c r="C124" s="83"/>
      <c r="D124" s="84"/>
      <c r="E124" s="84"/>
      <c r="F124" s="84"/>
      <c r="G124" s="84"/>
      <c r="H124" s="85"/>
    </row>
    <row r="125" s="22" customFormat="1" spans="3:8">
      <c r="C125" s="83"/>
      <c r="D125" s="84"/>
      <c r="E125" s="84"/>
      <c r="F125" s="84"/>
      <c r="G125" s="84"/>
      <c r="H125" s="85"/>
    </row>
    <row r="126" s="22" customFormat="1" spans="3:8">
      <c r="C126" s="83"/>
      <c r="D126" s="84"/>
      <c r="E126" s="84"/>
      <c r="F126" s="84"/>
      <c r="G126" s="84"/>
      <c r="H126" s="85"/>
    </row>
    <row r="127" s="22" customFormat="1" spans="3:8">
      <c r="C127" s="83"/>
      <c r="D127" s="84"/>
      <c r="E127" s="84"/>
      <c r="F127" s="84"/>
      <c r="G127" s="84"/>
      <c r="H127" s="85"/>
    </row>
    <row r="128" s="22" customFormat="1" spans="3:8">
      <c r="C128" s="83"/>
      <c r="D128" s="84"/>
      <c r="E128" s="84"/>
      <c r="F128" s="84"/>
      <c r="G128" s="84"/>
      <c r="H128" s="85"/>
    </row>
    <row r="129" s="22" customFormat="1" spans="3:8">
      <c r="C129" s="83"/>
      <c r="D129" s="84"/>
      <c r="E129" s="84"/>
      <c r="F129" s="84"/>
      <c r="G129" s="84"/>
      <c r="H129" s="85"/>
    </row>
    <row r="130" s="22" customFormat="1" spans="3:8">
      <c r="C130" s="83"/>
      <c r="D130" s="84"/>
      <c r="E130" s="84"/>
      <c r="F130" s="84"/>
      <c r="G130" s="84"/>
      <c r="H130" s="85"/>
    </row>
    <row r="131" s="22" customFormat="1" spans="3:8">
      <c r="C131" s="83"/>
      <c r="D131" s="84"/>
      <c r="E131" s="84"/>
      <c r="F131" s="84"/>
      <c r="G131" s="84"/>
      <c r="H131" s="85"/>
    </row>
    <row r="132" s="22" customFormat="1" spans="3:8">
      <c r="C132" s="83"/>
      <c r="D132" s="84"/>
      <c r="E132" s="84"/>
      <c r="F132" s="84"/>
      <c r="G132" s="84"/>
      <c r="H132" s="85"/>
    </row>
    <row r="133" s="22" customFormat="1" spans="3:8">
      <c r="C133" s="83"/>
      <c r="D133" s="84"/>
      <c r="E133" s="84"/>
      <c r="F133" s="84"/>
      <c r="G133" s="84"/>
      <c r="H133" s="85"/>
    </row>
    <row r="134" s="22" customFormat="1" spans="3:8">
      <c r="C134" s="83"/>
      <c r="D134" s="84"/>
      <c r="E134" s="84"/>
      <c r="F134" s="84"/>
      <c r="G134" s="84"/>
      <c r="H134" s="85"/>
    </row>
    <row r="135" s="22" customFormat="1" spans="3:8">
      <c r="C135" s="83"/>
      <c r="D135" s="84"/>
      <c r="E135" s="84"/>
      <c r="F135" s="84"/>
      <c r="G135" s="84"/>
      <c r="H135" s="85"/>
    </row>
    <row r="136" s="22" customFormat="1" spans="3:8">
      <c r="C136" s="83"/>
      <c r="D136" s="84"/>
      <c r="E136" s="84"/>
      <c r="F136" s="84"/>
      <c r="G136" s="84"/>
      <c r="H136" s="85"/>
    </row>
    <row r="137" s="22" customFormat="1" spans="3:8">
      <c r="C137" s="83"/>
      <c r="D137" s="84"/>
      <c r="E137" s="84"/>
      <c r="F137" s="84"/>
      <c r="G137" s="84"/>
      <c r="H137" s="85"/>
    </row>
    <row r="138" s="22" customFormat="1" spans="3:8">
      <c r="C138" s="83"/>
      <c r="D138" s="84"/>
      <c r="E138" s="84"/>
      <c r="F138" s="84"/>
      <c r="G138" s="84"/>
      <c r="H138" s="85"/>
    </row>
    <row r="139" s="22" customFormat="1" spans="3:8">
      <c r="C139" s="83"/>
      <c r="D139" s="84"/>
      <c r="E139" s="84"/>
      <c r="F139" s="84"/>
      <c r="G139" s="84"/>
      <c r="H139" s="85"/>
    </row>
    <row r="140" s="22" customFormat="1" spans="3:8">
      <c r="C140" s="83"/>
      <c r="D140" s="84"/>
      <c r="E140" s="84"/>
      <c r="F140" s="84"/>
      <c r="G140" s="84"/>
      <c r="H140" s="85"/>
    </row>
    <row r="141" s="22" customFormat="1" spans="3:8">
      <c r="C141" s="83"/>
      <c r="D141" s="84"/>
      <c r="E141" s="84"/>
      <c r="F141" s="84"/>
      <c r="G141" s="84"/>
      <c r="H141" s="85"/>
    </row>
    <row r="142" s="22" customFormat="1" spans="3:8">
      <c r="C142" s="83"/>
      <c r="D142" s="84"/>
      <c r="E142" s="84"/>
      <c r="F142" s="84"/>
      <c r="G142" s="84"/>
      <c r="H142" s="85"/>
    </row>
    <row r="143" s="22" customFormat="1" spans="3:8">
      <c r="C143" s="83"/>
      <c r="D143" s="84"/>
      <c r="E143" s="84"/>
      <c r="F143" s="84"/>
      <c r="G143" s="84"/>
      <c r="H143" s="85"/>
    </row>
    <row r="144" s="22" customFormat="1" spans="3:8">
      <c r="C144" s="83"/>
      <c r="D144" s="84"/>
      <c r="E144" s="84"/>
      <c r="F144" s="84"/>
      <c r="G144" s="84"/>
      <c r="H144" s="85"/>
    </row>
    <row r="145" s="22" customFormat="1" spans="3:8">
      <c r="C145" s="83"/>
      <c r="D145" s="84"/>
      <c r="E145" s="84"/>
      <c r="F145" s="84"/>
      <c r="G145" s="84"/>
      <c r="H145" s="85"/>
    </row>
    <row r="146" s="22" customFormat="1" spans="3:8">
      <c r="C146" s="83"/>
      <c r="D146" s="84"/>
      <c r="E146" s="84"/>
      <c r="F146" s="84"/>
      <c r="G146" s="84"/>
      <c r="H146" s="85"/>
    </row>
    <row r="147" s="22" customFormat="1" spans="3:8">
      <c r="C147" s="83"/>
      <c r="D147" s="84"/>
      <c r="E147" s="84"/>
      <c r="F147" s="84"/>
      <c r="G147" s="84"/>
      <c r="H147" s="85"/>
    </row>
    <row r="148" s="22" customFormat="1" spans="3:8">
      <c r="C148" s="83"/>
      <c r="D148" s="84"/>
      <c r="E148" s="84"/>
      <c r="F148" s="84"/>
      <c r="G148" s="84"/>
      <c r="H148" s="85"/>
    </row>
    <row r="149" s="22" customFormat="1" spans="3:8">
      <c r="C149" s="83"/>
      <c r="D149" s="84"/>
      <c r="E149" s="84"/>
      <c r="F149" s="84"/>
      <c r="G149" s="84"/>
      <c r="H149" s="85"/>
    </row>
    <row r="150" s="22" customFormat="1" spans="3:8">
      <c r="C150" s="83"/>
      <c r="D150" s="84"/>
      <c r="E150" s="84"/>
      <c r="F150" s="84"/>
      <c r="G150" s="84"/>
      <c r="H150" s="85"/>
    </row>
    <row r="151" s="22" customFormat="1" spans="3:8">
      <c r="C151" s="83"/>
      <c r="D151" s="84"/>
      <c r="E151" s="84"/>
      <c r="F151" s="84"/>
      <c r="G151" s="84"/>
      <c r="H151" s="85"/>
    </row>
    <row r="152" s="22" customFormat="1" spans="3:8">
      <c r="C152" s="83"/>
      <c r="D152" s="84"/>
      <c r="E152" s="84"/>
      <c r="F152" s="84"/>
      <c r="G152" s="84"/>
      <c r="H152" s="85"/>
    </row>
    <row r="153" s="22" customFormat="1" spans="3:8">
      <c r="C153" s="83"/>
      <c r="D153" s="84"/>
      <c r="E153" s="84"/>
      <c r="F153" s="84"/>
      <c r="G153" s="84"/>
      <c r="H153" s="85"/>
    </row>
    <row r="154" s="22" customFormat="1" spans="3:8">
      <c r="C154" s="83"/>
      <c r="D154" s="84"/>
      <c r="E154" s="84"/>
      <c r="F154" s="84"/>
      <c r="G154" s="84"/>
      <c r="H154" s="85"/>
    </row>
    <row r="155" s="22" customFormat="1" spans="3:8">
      <c r="C155" s="83"/>
      <c r="D155" s="84"/>
      <c r="E155" s="84"/>
      <c r="F155" s="84"/>
      <c r="G155" s="84"/>
      <c r="H155" s="85"/>
    </row>
    <row r="156" s="22" customFormat="1" spans="3:8">
      <c r="C156" s="83"/>
      <c r="D156" s="84"/>
      <c r="E156" s="84"/>
      <c r="F156" s="84"/>
      <c r="G156" s="84"/>
      <c r="H156" s="85"/>
    </row>
    <row r="157" s="22" customFormat="1" spans="3:8">
      <c r="C157" s="83"/>
      <c r="D157" s="84"/>
      <c r="E157" s="84"/>
      <c r="F157" s="84"/>
      <c r="G157" s="84"/>
      <c r="H157" s="85"/>
    </row>
    <row r="158" s="22" customFormat="1" spans="3:8">
      <c r="C158" s="83"/>
      <c r="D158" s="84"/>
      <c r="E158" s="84"/>
      <c r="F158" s="84"/>
      <c r="G158" s="84"/>
      <c r="H158" s="85"/>
    </row>
    <row r="159" s="22" customFormat="1" spans="3:8">
      <c r="C159" s="83"/>
      <c r="D159" s="84"/>
      <c r="E159" s="84"/>
      <c r="F159" s="84"/>
      <c r="G159" s="84"/>
      <c r="H159" s="85"/>
    </row>
    <row r="160" s="22" customFormat="1" spans="3:8">
      <c r="C160" s="83"/>
      <c r="D160" s="84"/>
      <c r="E160" s="84"/>
      <c r="F160" s="84"/>
      <c r="G160" s="84"/>
      <c r="H160" s="85"/>
    </row>
    <row r="161" s="22" customFormat="1" spans="3:8">
      <c r="C161" s="83"/>
      <c r="D161" s="84"/>
      <c r="E161" s="84"/>
      <c r="F161" s="84"/>
      <c r="G161" s="84"/>
      <c r="H161" s="85"/>
    </row>
    <row r="162" s="22" customFormat="1" spans="3:8">
      <c r="C162" s="83"/>
      <c r="D162" s="84"/>
      <c r="E162" s="84"/>
      <c r="F162" s="84"/>
      <c r="G162" s="84"/>
      <c r="H162" s="85"/>
    </row>
    <row r="163" s="22" customFormat="1" spans="3:8">
      <c r="C163" s="83"/>
      <c r="D163" s="84"/>
      <c r="E163" s="84"/>
      <c r="F163" s="84"/>
      <c r="G163" s="84"/>
      <c r="H163" s="85"/>
    </row>
    <row r="164" s="22" customFormat="1" spans="3:8">
      <c r="C164" s="83"/>
      <c r="D164" s="84"/>
      <c r="E164" s="84"/>
      <c r="F164" s="84"/>
      <c r="G164" s="84"/>
      <c r="H164" s="85"/>
    </row>
    <row r="165" s="22" customFormat="1" spans="3:8">
      <c r="C165" s="83"/>
      <c r="D165" s="84"/>
      <c r="E165" s="84"/>
      <c r="F165" s="84"/>
      <c r="G165" s="84"/>
      <c r="H165" s="85"/>
    </row>
    <row r="166" s="22" customFormat="1" spans="3:8">
      <c r="C166" s="83"/>
      <c r="D166" s="84"/>
      <c r="E166" s="84"/>
      <c r="F166" s="84"/>
      <c r="G166" s="84"/>
      <c r="H166" s="85"/>
    </row>
    <row r="167" s="22" customFormat="1" spans="3:8">
      <c r="C167" s="83"/>
      <c r="D167" s="84"/>
      <c r="E167" s="84"/>
      <c r="F167" s="84"/>
      <c r="G167" s="84"/>
      <c r="H167" s="85"/>
    </row>
    <row r="168" s="22" customFormat="1" spans="3:8">
      <c r="C168" s="83"/>
      <c r="D168" s="84"/>
      <c r="E168" s="84"/>
      <c r="F168" s="84"/>
      <c r="G168" s="84"/>
      <c r="H168" s="85"/>
    </row>
    <row r="169" s="22" customFormat="1" spans="3:8">
      <c r="C169" s="83"/>
      <c r="D169" s="84"/>
      <c r="E169" s="84"/>
      <c r="F169" s="84"/>
      <c r="G169" s="84"/>
      <c r="H169" s="85"/>
    </row>
    <row r="170" s="22" customFormat="1" spans="3:8">
      <c r="C170" s="83"/>
      <c r="D170" s="84"/>
      <c r="E170" s="84"/>
      <c r="F170" s="84"/>
      <c r="G170" s="84"/>
      <c r="H170" s="85"/>
    </row>
    <row r="171" s="22" customFormat="1" spans="3:8">
      <c r="C171" s="83"/>
      <c r="D171" s="84"/>
      <c r="E171" s="84"/>
      <c r="F171" s="84"/>
      <c r="G171" s="84"/>
      <c r="H171" s="85"/>
    </row>
    <row r="172" s="22" customFormat="1" spans="3:8">
      <c r="C172" s="83"/>
      <c r="D172" s="84"/>
      <c r="E172" s="84"/>
      <c r="F172" s="84"/>
      <c r="G172" s="84"/>
      <c r="H172" s="85"/>
    </row>
    <row r="173" s="22" customFormat="1" spans="3:8">
      <c r="C173" s="83"/>
      <c r="D173" s="84"/>
      <c r="E173" s="84"/>
      <c r="F173" s="84"/>
      <c r="G173" s="84"/>
      <c r="H173" s="85"/>
    </row>
    <row r="174" s="22" customFormat="1" spans="3:8">
      <c r="C174" s="83"/>
      <c r="D174" s="84"/>
      <c r="E174" s="84"/>
      <c r="F174" s="84"/>
      <c r="G174" s="84"/>
      <c r="H174" s="85"/>
    </row>
    <row r="175" s="22" customFormat="1" spans="3:8">
      <c r="C175" s="83"/>
      <c r="D175" s="84"/>
      <c r="E175" s="84"/>
      <c r="F175" s="84"/>
      <c r="G175" s="84"/>
      <c r="H175" s="85"/>
    </row>
    <row r="176" s="22" customFormat="1" spans="3:8">
      <c r="C176" s="83"/>
      <c r="D176" s="84"/>
      <c r="E176" s="84"/>
      <c r="F176" s="84"/>
      <c r="G176" s="84"/>
      <c r="H176" s="85"/>
    </row>
    <row r="177" s="22" customFormat="1" spans="3:8">
      <c r="C177" s="83"/>
      <c r="D177" s="84"/>
      <c r="E177" s="84"/>
      <c r="F177" s="84"/>
      <c r="G177" s="84"/>
      <c r="H177" s="85"/>
    </row>
    <row r="178" s="22" customFormat="1" spans="3:8">
      <c r="C178" s="83"/>
      <c r="D178" s="84"/>
      <c r="E178" s="84"/>
      <c r="F178" s="84"/>
      <c r="G178" s="84"/>
      <c r="H178" s="85"/>
    </row>
    <row r="179" s="22" customFormat="1" spans="3:8">
      <c r="C179" s="83"/>
      <c r="D179" s="84"/>
      <c r="E179" s="84"/>
      <c r="F179" s="84"/>
      <c r="G179" s="84"/>
      <c r="H179" s="85"/>
    </row>
    <row r="180" s="22" customFormat="1" spans="3:8">
      <c r="C180" s="83"/>
      <c r="D180" s="84"/>
      <c r="E180" s="84"/>
      <c r="F180" s="84"/>
      <c r="G180" s="84"/>
      <c r="H180" s="85"/>
    </row>
    <row r="181" s="22" customFormat="1" spans="3:8">
      <c r="C181" s="83"/>
      <c r="D181" s="84"/>
      <c r="E181" s="84"/>
      <c r="F181" s="84"/>
      <c r="G181" s="84"/>
      <c r="H181" s="85"/>
    </row>
    <row r="182" s="22" customFormat="1" spans="3:8">
      <c r="C182" s="83"/>
      <c r="D182" s="84"/>
      <c r="E182" s="84"/>
      <c r="F182" s="84"/>
      <c r="G182" s="84"/>
      <c r="H182" s="85"/>
    </row>
    <row r="183" s="22" customFormat="1" spans="3:8">
      <c r="C183" s="83"/>
      <c r="D183" s="84"/>
      <c r="E183" s="84"/>
      <c r="F183" s="84"/>
      <c r="G183" s="84"/>
      <c r="H183" s="85"/>
    </row>
    <row r="184" s="22" customFormat="1" spans="3:8">
      <c r="C184" s="83"/>
      <c r="D184" s="84"/>
      <c r="E184" s="84"/>
      <c r="F184" s="84"/>
      <c r="G184" s="84"/>
      <c r="H184" s="85"/>
    </row>
    <row r="185" s="22" customFormat="1" spans="3:8">
      <c r="C185" s="83"/>
      <c r="D185" s="84"/>
      <c r="E185" s="84"/>
      <c r="F185" s="84"/>
      <c r="G185" s="84"/>
      <c r="H185" s="85"/>
    </row>
    <row r="186" s="22" customFormat="1" spans="3:8">
      <c r="C186" s="83"/>
      <c r="D186" s="84"/>
      <c r="E186" s="84"/>
      <c r="F186" s="84"/>
      <c r="G186" s="84"/>
      <c r="H186" s="85"/>
    </row>
    <row r="187" s="22" customFormat="1" spans="3:8">
      <c r="C187" s="83"/>
      <c r="D187" s="84"/>
      <c r="E187" s="84"/>
      <c r="F187" s="84"/>
      <c r="G187" s="84"/>
      <c r="H187" s="85"/>
    </row>
    <row r="188" s="22" customFormat="1" spans="3:8">
      <c r="C188" s="83"/>
      <c r="D188" s="84"/>
      <c r="E188" s="84"/>
      <c r="F188" s="84"/>
      <c r="G188" s="84"/>
      <c r="H188" s="85"/>
    </row>
    <row r="189" s="22" customFormat="1" spans="3:8">
      <c r="C189" s="83"/>
      <c r="D189" s="84"/>
      <c r="E189" s="84"/>
      <c r="F189" s="84"/>
      <c r="G189" s="84"/>
      <c r="H189" s="85"/>
    </row>
    <row r="190" s="22" customFormat="1" spans="3:8">
      <c r="C190" s="83"/>
      <c r="D190" s="84"/>
      <c r="E190" s="84"/>
      <c r="F190" s="84"/>
      <c r="G190" s="84"/>
      <c r="H190" s="85"/>
    </row>
    <row r="191" s="22" customFormat="1" spans="3:8">
      <c r="C191" s="83"/>
      <c r="D191" s="84"/>
      <c r="E191" s="84"/>
      <c r="F191" s="84"/>
      <c r="G191" s="84"/>
      <c r="H191" s="85"/>
    </row>
    <row r="192" s="22" customFormat="1" spans="3:8">
      <c r="C192" s="83"/>
      <c r="D192" s="84"/>
      <c r="E192" s="84"/>
      <c r="F192" s="84"/>
      <c r="G192" s="84"/>
      <c r="H192" s="85"/>
    </row>
    <row r="193" s="22" customFormat="1" spans="3:8">
      <c r="C193" s="83"/>
      <c r="D193" s="84"/>
      <c r="E193" s="84"/>
      <c r="F193" s="84"/>
      <c r="G193" s="84"/>
      <c r="H193" s="85"/>
    </row>
    <row r="194" s="22" customFormat="1" spans="3:8">
      <c r="C194" s="83"/>
      <c r="D194" s="84"/>
      <c r="E194" s="84"/>
      <c r="F194" s="84"/>
      <c r="G194" s="84"/>
      <c r="H194" s="85"/>
    </row>
    <row r="195" s="22" customFormat="1" spans="3:8">
      <c r="C195" s="83"/>
      <c r="D195" s="84"/>
      <c r="E195" s="84"/>
      <c r="F195" s="84"/>
      <c r="G195" s="84"/>
      <c r="H195" s="85"/>
    </row>
    <row r="196" s="22" customFormat="1" spans="3:8">
      <c r="C196" s="83"/>
      <c r="D196" s="84"/>
      <c r="E196" s="84"/>
      <c r="F196" s="84"/>
      <c r="G196" s="84"/>
      <c r="H196" s="85"/>
    </row>
    <row r="197" s="22" customFormat="1" spans="3:8">
      <c r="C197" s="83"/>
      <c r="D197" s="84"/>
      <c r="E197" s="84"/>
      <c r="F197" s="84"/>
      <c r="G197" s="84"/>
      <c r="H197" s="85"/>
    </row>
    <row r="198" s="22" customFormat="1" spans="3:8">
      <c r="C198" s="83"/>
      <c r="D198" s="84"/>
      <c r="E198" s="84"/>
      <c r="F198" s="84"/>
      <c r="G198" s="84"/>
      <c r="H198" s="85"/>
    </row>
    <row r="199" s="22" customFormat="1" spans="3:8">
      <c r="C199" s="83"/>
      <c r="D199" s="84"/>
      <c r="E199" s="84"/>
      <c r="F199" s="84"/>
      <c r="G199" s="84"/>
      <c r="H199" s="85"/>
    </row>
    <row r="200" s="22" customFormat="1" spans="3:8">
      <c r="C200" s="83"/>
      <c r="D200" s="84"/>
      <c r="E200" s="84"/>
      <c r="F200" s="84"/>
      <c r="G200" s="84"/>
      <c r="H200" s="85"/>
    </row>
    <row r="201" s="22" customFormat="1" spans="3:8">
      <c r="C201" s="83"/>
      <c r="D201" s="84"/>
      <c r="E201" s="84"/>
      <c r="F201" s="84"/>
      <c r="G201" s="84"/>
      <c r="H201" s="85"/>
    </row>
    <row r="202" s="22" customFormat="1" spans="3:8">
      <c r="C202" s="83"/>
      <c r="D202" s="84"/>
      <c r="E202" s="84"/>
      <c r="F202" s="84"/>
      <c r="G202" s="84"/>
      <c r="H202" s="85"/>
    </row>
    <row r="203" s="22" customFormat="1" spans="3:8">
      <c r="C203" s="83"/>
      <c r="D203" s="84"/>
      <c r="E203" s="84"/>
      <c r="F203" s="84"/>
      <c r="G203" s="84"/>
      <c r="H203" s="85"/>
    </row>
    <row r="204" s="22" customFormat="1" spans="3:8">
      <c r="C204" s="83"/>
      <c r="D204" s="84"/>
      <c r="E204" s="84"/>
      <c r="F204" s="84"/>
      <c r="G204" s="84"/>
      <c r="H204" s="85"/>
    </row>
    <row r="205" s="22" customFormat="1" spans="3:8">
      <c r="C205" s="83"/>
      <c r="D205" s="84"/>
      <c r="E205" s="84"/>
      <c r="F205" s="84"/>
      <c r="G205" s="84"/>
      <c r="H205" s="85"/>
    </row>
    <row r="206" s="22" customFormat="1" spans="3:8">
      <c r="C206" s="83"/>
      <c r="D206" s="84"/>
      <c r="E206" s="84"/>
      <c r="F206" s="84"/>
      <c r="G206" s="84"/>
      <c r="H206" s="85"/>
    </row>
    <row r="207" s="22" customFormat="1" spans="3:8">
      <c r="C207" s="83"/>
      <c r="D207" s="84"/>
      <c r="E207" s="84"/>
      <c r="F207" s="84"/>
      <c r="G207" s="84"/>
      <c r="H207" s="85"/>
    </row>
    <row r="208" s="22" customFormat="1" spans="3:8">
      <c r="C208" s="83"/>
      <c r="D208" s="84"/>
      <c r="E208" s="84"/>
      <c r="F208" s="84"/>
      <c r="G208" s="84"/>
      <c r="H208" s="85"/>
    </row>
    <row r="209" s="22" customFormat="1" spans="3:8">
      <c r="C209" s="83"/>
      <c r="D209" s="84"/>
      <c r="E209" s="84"/>
      <c r="F209" s="84"/>
      <c r="G209" s="84"/>
      <c r="H209" s="85"/>
    </row>
    <row r="210" s="22" customFormat="1" spans="3:8">
      <c r="C210" s="83"/>
      <c r="D210" s="84"/>
      <c r="E210" s="84"/>
      <c r="F210" s="84"/>
      <c r="G210" s="84"/>
      <c r="H210" s="85"/>
    </row>
    <row r="211" s="22" customFormat="1" spans="3:8">
      <c r="C211" s="83"/>
      <c r="D211" s="84"/>
      <c r="E211" s="84"/>
      <c r="F211" s="84"/>
      <c r="G211" s="84"/>
      <c r="H211" s="85"/>
    </row>
    <row r="212" s="22" customFormat="1" spans="3:8">
      <c r="C212" s="83"/>
      <c r="D212" s="84"/>
      <c r="E212" s="84"/>
      <c r="F212" s="84"/>
      <c r="G212" s="84"/>
      <c r="H212" s="85"/>
    </row>
    <row r="213" s="22" customFormat="1" spans="3:8">
      <c r="C213" s="83"/>
      <c r="D213" s="84"/>
      <c r="E213" s="84"/>
      <c r="F213" s="84"/>
      <c r="G213" s="84"/>
      <c r="H213" s="85"/>
    </row>
    <row r="214" s="22" customFormat="1" spans="3:8">
      <c r="C214" s="83"/>
      <c r="D214" s="84"/>
      <c r="E214" s="84"/>
      <c r="F214" s="84"/>
      <c r="G214" s="84"/>
      <c r="H214" s="85"/>
    </row>
    <row r="215" s="22" customFormat="1" spans="3:8">
      <c r="C215" s="83"/>
      <c r="D215" s="84"/>
      <c r="E215" s="84"/>
      <c r="F215" s="84"/>
      <c r="G215" s="84"/>
      <c r="H215" s="85"/>
    </row>
    <row r="216" s="22" customFormat="1" spans="3:8">
      <c r="C216" s="83"/>
      <c r="D216" s="84"/>
      <c r="E216" s="84"/>
      <c r="F216" s="84"/>
      <c r="G216" s="84"/>
      <c r="H216" s="85"/>
    </row>
    <row r="217" s="22" customFormat="1" spans="3:8">
      <c r="C217" s="83"/>
      <c r="D217" s="84"/>
      <c r="E217" s="84"/>
      <c r="F217" s="84"/>
      <c r="G217" s="84"/>
      <c r="H217" s="85"/>
    </row>
    <row r="218" s="22" customFormat="1" spans="3:8">
      <c r="C218" s="83"/>
      <c r="D218" s="84"/>
      <c r="E218" s="84"/>
      <c r="F218" s="84"/>
      <c r="G218" s="84"/>
      <c r="H218" s="85"/>
    </row>
    <row r="219" s="22" customFormat="1" spans="3:8">
      <c r="C219" s="83"/>
      <c r="D219" s="84"/>
      <c r="E219" s="84"/>
      <c r="F219" s="84"/>
      <c r="G219" s="84"/>
      <c r="H219" s="85"/>
    </row>
    <row r="220" s="22" customFormat="1" spans="3:8">
      <c r="C220" s="83"/>
      <c r="D220" s="84"/>
      <c r="E220" s="84"/>
      <c r="F220" s="84"/>
      <c r="G220" s="84"/>
      <c r="H220" s="85"/>
    </row>
    <row r="221" s="22" customFormat="1" spans="3:8">
      <c r="C221" s="83"/>
      <c r="D221" s="84"/>
      <c r="E221" s="84"/>
      <c r="F221" s="84"/>
      <c r="G221" s="84"/>
      <c r="H221" s="85"/>
    </row>
    <row r="222" s="22" customFormat="1" spans="3:8">
      <c r="C222" s="83"/>
      <c r="D222" s="84"/>
      <c r="E222" s="84"/>
      <c r="F222" s="84"/>
      <c r="G222" s="84"/>
      <c r="H222" s="85"/>
    </row>
    <row r="223" s="22" customFormat="1" spans="3:8">
      <c r="C223" s="83"/>
      <c r="D223" s="84"/>
      <c r="E223" s="84"/>
      <c r="F223" s="84"/>
      <c r="G223" s="84"/>
      <c r="H223" s="85"/>
    </row>
    <row r="224" s="22" customFormat="1" spans="3:8">
      <c r="C224" s="83"/>
      <c r="D224" s="84"/>
      <c r="E224" s="84"/>
      <c r="F224" s="84"/>
      <c r="G224" s="84"/>
      <c r="H224" s="85"/>
    </row>
    <row r="225" s="22" customFormat="1" spans="3:8">
      <c r="C225" s="83"/>
      <c r="D225" s="84"/>
      <c r="E225" s="84"/>
      <c r="F225" s="84"/>
      <c r="G225" s="84"/>
      <c r="H225" s="85"/>
    </row>
    <row r="226" s="22" customFormat="1" spans="3:8">
      <c r="C226" s="83"/>
      <c r="D226" s="84"/>
      <c r="E226" s="84"/>
      <c r="F226" s="84"/>
      <c r="G226" s="84"/>
      <c r="H226" s="85"/>
    </row>
    <row r="227" s="22" customFormat="1" spans="3:8">
      <c r="C227" s="83"/>
      <c r="D227" s="84"/>
      <c r="E227" s="84"/>
      <c r="F227" s="84"/>
      <c r="G227" s="84"/>
      <c r="H227" s="85"/>
    </row>
    <row r="228" s="22" customFormat="1" spans="3:8">
      <c r="C228" s="83"/>
      <c r="D228" s="84"/>
      <c r="E228" s="84"/>
      <c r="F228" s="84"/>
      <c r="G228" s="84"/>
      <c r="H228" s="85"/>
    </row>
    <row r="229" s="22" customFormat="1" spans="3:8">
      <c r="C229" s="83"/>
      <c r="D229" s="84"/>
      <c r="E229" s="84"/>
      <c r="F229" s="84"/>
      <c r="G229" s="84"/>
      <c r="H229" s="85"/>
    </row>
    <row r="230" s="22" customFormat="1" spans="3:8">
      <c r="C230" s="83"/>
      <c r="D230" s="84"/>
      <c r="E230" s="84"/>
      <c r="F230" s="84"/>
      <c r="G230" s="84"/>
      <c r="H230" s="85"/>
    </row>
    <row r="231" s="22" customFormat="1" spans="3:8">
      <c r="C231" s="83"/>
      <c r="D231" s="84"/>
      <c r="E231" s="84"/>
      <c r="F231" s="84"/>
      <c r="G231" s="84"/>
      <c r="H231" s="85"/>
    </row>
    <row r="232" s="22" customFormat="1" spans="3:8">
      <c r="C232" s="83"/>
      <c r="D232" s="84"/>
      <c r="E232" s="84"/>
      <c r="F232" s="84"/>
      <c r="G232" s="84"/>
      <c r="H232" s="85"/>
    </row>
    <row r="233" s="22" customFormat="1" spans="3:8">
      <c r="C233" s="83"/>
      <c r="D233" s="84"/>
      <c r="E233" s="84"/>
      <c r="F233" s="84"/>
      <c r="G233" s="84"/>
      <c r="H233" s="85"/>
    </row>
    <row r="234" s="22" customFormat="1" spans="3:8">
      <c r="C234" s="83"/>
      <c r="D234" s="84"/>
      <c r="E234" s="84"/>
      <c r="F234" s="84"/>
      <c r="G234" s="84"/>
      <c r="H234" s="85"/>
    </row>
    <row r="235" s="22" customFormat="1" spans="3:8">
      <c r="C235" s="83"/>
      <c r="D235" s="84"/>
      <c r="E235" s="84"/>
      <c r="F235" s="84"/>
      <c r="G235" s="84"/>
      <c r="H235" s="85"/>
    </row>
    <row r="236" s="22" customFormat="1" spans="3:8">
      <c r="C236" s="83"/>
      <c r="D236" s="84"/>
      <c r="E236" s="84"/>
      <c r="F236" s="84"/>
      <c r="G236" s="84"/>
      <c r="H236" s="85"/>
    </row>
    <row r="237" s="22" customFormat="1" spans="3:8">
      <c r="C237" s="83"/>
      <c r="D237" s="84"/>
      <c r="E237" s="84"/>
      <c r="F237" s="84"/>
      <c r="G237" s="84"/>
      <c r="H237" s="85"/>
    </row>
    <row r="238" s="22" customFormat="1" spans="3:8">
      <c r="C238" s="83"/>
      <c r="D238" s="84"/>
      <c r="E238" s="84"/>
      <c r="F238" s="84"/>
      <c r="G238" s="84"/>
      <c r="H238" s="85"/>
    </row>
    <row r="239" s="22" customFormat="1" spans="3:8">
      <c r="C239" s="83"/>
      <c r="D239" s="84"/>
      <c r="E239" s="84"/>
      <c r="F239" s="84"/>
      <c r="G239" s="84"/>
      <c r="H239" s="85"/>
    </row>
    <row r="240" s="22" customFormat="1" spans="3:8">
      <c r="C240" s="83"/>
      <c r="D240" s="84"/>
      <c r="E240" s="84"/>
      <c r="F240" s="84"/>
      <c r="G240" s="84"/>
      <c r="H240" s="85"/>
    </row>
    <row r="241" s="22" customFormat="1" spans="3:8">
      <c r="C241" s="83"/>
      <c r="D241" s="84"/>
      <c r="E241" s="84"/>
      <c r="F241" s="84"/>
      <c r="G241" s="84"/>
      <c r="H241" s="85"/>
    </row>
    <row r="242" s="22" customFormat="1" spans="3:8">
      <c r="C242" s="83"/>
      <c r="D242" s="84"/>
      <c r="E242" s="84"/>
      <c r="F242" s="84"/>
      <c r="G242" s="84"/>
      <c r="H242" s="85"/>
    </row>
    <row r="243" s="22" customFormat="1" spans="3:8">
      <c r="C243" s="83"/>
      <c r="D243" s="84"/>
      <c r="E243" s="84"/>
      <c r="F243" s="84"/>
      <c r="G243" s="84"/>
      <c r="H243" s="85"/>
    </row>
    <row r="244" s="22" customFormat="1" spans="3:8">
      <c r="C244" s="83"/>
      <c r="D244" s="84"/>
      <c r="E244" s="84"/>
      <c r="F244" s="84"/>
      <c r="G244" s="84"/>
      <c r="H244" s="85"/>
    </row>
    <row r="245" s="22" customFormat="1" spans="3:8">
      <c r="C245" s="83"/>
      <c r="D245" s="84"/>
      <c r="E245" s="84"/>
      <c r="F245" s="84"/>
      <c r="G245" s="84"/>
      <c r="H245" s="85"/>
    </row>
    <row r="246" s="22" customFormat="1" spans="3:8">
      <c r="C246" s="83"/>
      <c r="D246" s="84"/>
      <c r="E246" s="84"/>
      <c r="F246" s="84"/>
      <c r="G246" s="84"/>
      <c r="H246" s="85"/>
    </row>
    <row r="247" s="22" customFormat="1" spans="3:8">
      <c r="C247" s="83"/>
      <c r="D247" s="84"/>
      <c r="E247" s="84"/>
      <c r="F247" s="84"/>
      <c r="G247" s="84"/>
      <c r="H247" s="85"/>
    </row>
    <row r="248" s="22" customFormat="1" spans="3:8">
      <c r="C248" s="83"/>
      <c r="D248" s="84"/>
      <c r="E248" s="84"/>
      <c r="F248" s="84"/>
      <c r="G248" s="84"/>
      <c r="H248" s="85"/>
    </row>
    <row r="249" s="22" customFormat="1" spans="3:8">
      <c r="C249" s="83"/>
      <c r="D249" s="84"/>
      <c r="E249" s="84"/>
      <c r="F249" s="84"/>
      <c r="G249" s="84"/>
      <c r="H249" s="85"/>
    </row>
    <row r="250" s="22" customFormat="1" spans="3:8">
      <c r="C250" s="83"/>
      <c r="D250" s="84"/>
      <c r="E250" s="84"/>
      <c r="F250" s="84"/>
      <c r="G250" s="84"/>
      <c r="H250" s="85"/>
    </row>
    <row r="251" s="22" customFormat="1" spans="3:8">
      <c r="C251" s="83"/>
      <c r="D251" s="84"/>
      <c r="E251" s="84"/>
      <c r="F251" s="84"/>
      <c r="G251" s="84"/>
      <c r="H251" s="85"/>
    </row>
    <row r="252" s="22" customFormat="1" spans="3:8">
      <c r="C252" s="83"/>
      <c r="D252" s="84"/>
      <c r="E252" s="84"/>
      <c r="F252" s="84"/>
      <c r="G252" s="84"/>
      <c r="H252" s="85"/>
    </row>
    <row r="253" s="22" customFormat="1" spans="3:8">
      <c r="C253" s="83"/>
      <c r="D253" s="84"/>
      <c r="E253" s="84"/>
      <c r="F253" s="84"/>
      <c r="G253" s="84"/>
      <c r="H253" s="85"/>
    </row>
    <row r="254" s="22" customFormat="1" spans="3:8">
      <c r="C254" s="83"/>
      <c r="D254" s="84"/>
      <c r="E254" s="84"/>
      <c r="F254" s="84"/>
      <c r="G254" s="84"/>
      <c r="H254" s="85"/>
    </row>
    <row r="255" s="22" customFormat="1" spans="3:8">
      <c r="C255" s="83"/>
      <c r="D255" s="84"/>
      <c r="E255" s="84"/>
      <c r="F255" s="84"/>
      <c r="G255" s="84"/>
      <c r="H255" s="85"/>
    </row>
    <row r="256" s="22" customFormat="1" spans="3:8">
      <c r="C256" s="83"/>
      <c r="D256" s="84"/>
      <c r="E256" s="84"/>
      <c r="F256" s="84"/>
      <c r="G256" s="84"/>
      <c r="H256" s="85"/>
    </row>
  </sheetData>
  <mergeCells count="11">
    <mergeCell ref="A2:H2"/>
    <mergeCell ref="B6:C6"/>
    <mergeCell ref="A4:A5"/>
    <mergeCell ref="B4:B5"/>
    <mergeCell ref="C4:C5"/>
    <mergeCell ref="D4:D5"/>
    <mergeCell ref="E4:E5"/>
    <mergeCell ref="F4:F5"/>
    <mergeCell ref="G4:G5"/>
    <mergeCell ref="H4:H5"/>
    <mergeCell ref="I4:I5"/>
  </mergeCells>
  <pageMargins left="0.786805555555556" right="0.161111111111111" top="0.409027777777778" bottom="0.60625" header="0.5" footer="0.5"/>
  <pageSetup paperSize="9" firstPageNumber="114" orientation="landscape" useFirstPageNumber="1" horizontalDpi="600"/>
  <headerFooter>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showZeros="0" topLeftCell="A6" workbookViewId="0">
      <selection activeCell="B5" sqref="B5:B6"/>
    </sheetView>
  </sheetViews>
  <sheetFormatPr defaultColWidth="9" defaultRowHeight="13.2"/>
  <cols>
    <col min="1" max="1" width="37.8796296296296" style="37" customWidth="1"/>
    <col min="2" max="2" width="10" style="70" customWidth="1"/>
    <col min="3" max="3" width="10.1296296296296" style="70" customWidth="1"/>
    <col min="4" max="4" width="10.8796296296296" style="70" customWidth="1"/>
    <col min="5" max="5" width="10.75" style="70" customWidth="1"/>
    <col min="6" max="6" width="9.87962962962963" style="70" customWidth="1"/>
    <col min="7" max="7" width="9.62962962962963" style="70" hidden="1" customWidth="1"/>
    <col min="8" max="8" width="9.87962962962963" style="70" customWidth="1"/>
    <col min="9" max="9" width="12" style="70" customWidth="1"/>
    <col min="10" max="10" width="9.87962962962963" style="70" customWidth="1"/>
    <col min="11" max="12" width="10.8796296296296" style="70" customWidth="1"/>
    <col min="13" max="16384" width="9" style="37"/>
  </cols>
  <sheetData>
    <row r="1" ht="20" customHeight="1" spans="1:1">
      <c r="A1" s="71" t="s">
        <v>2033</v>
      </c>
    </row>
    <row r="2" s="36" customFormat="1" ht="35.25" customHeight="1" spans="1:12">
      <c r="A2" s="40" t="s">
        <v>2034</v>
      </c>
      <c r="B2" s="40"/>
      <c r="C2" s="40"/>
      <c r="D2" s="40"/>
      <c r="E2" s="40"/>
      <c r="F2" s="40"/>
      <c r="G2" s="40"/>
      <c r="H2" s="40"/>
      <c r="I2" s="40"/>
      <c r="J2" s="40"/>
      <c r="K2" s="40"/>
      <c r="L2" s="40"/>
    </row>
    <row r="3" s="37" customFormat="1" ht="18" customHeight="1" spans="1:12">
      <c r="A3" s="41"/>
      <c r="B3" s="72"/>
      <c r="C3" s="72"/>
      <c r="D3" s="72"/>
      <c r="E3" s="72"/>
      <c r="F3" s="72"/>
      <c r="G3" s="72"/>
      <c r="H3" s="72"/>
      <c r="I3" s="75"/>
      <c r="J3" s="70"/>
      <c r="K3" s="76" t="s">
        <v>2</v>
      </c>
      <c r="L3" s="70"/>
    </row>
    <row r="4" s="38" customFormat="1" ht="23.25" customHeight="1" spans="1:12">
      <c r="A4" s="42" t="s">
        <v>2035</v>
      </c>
      <c r="B4" s="43" t="s">
        <v>2036</v>
      </c>
      <c r="C4" s="44"/>
      <c r="D4" s="44"/>
      <c r="E4" s="44"/>
      <c r="F4" s="44"/>
      <c r="G4" s="44"/>
      <c r="H4" s="44"/>
      <c r="I4" s="44"/>
      <c r="J4" s="48" t="s">
        <v>5</v>
      </c>
      <c r="K4" s="48"/>
      <c r="L4" s="48"/>
    </row>
    <row r="5" s="38" customFormat="1" ht="30" customHeight="1" spans="1:12">
      <c r="A5" s="45"/>
      <c r="B5" s="46" t="s">
        <v>115</v>
      </c>
      <c r="C5" s="46" t="s">
        <v>2037</v>
      </c>
      <c r="D5" s="46" t="s">
        <v>2038</v>
      </c>
      <c r="E5" s="47" t="s">
        <v>1890</v>
      </c>
      <c r="F5" s="47" t="s">
        <v>2039</v>
      </c>
      <c r="G5" s="46" t="s">
        <v>2040</v>
      </c>
      <c r="H5" s="48" t="s">
        <v>119</v>
      </c>
      <c r="I5" s="43"/>
      <c r="J5" s="46" t="s">
        <v>12</v>
      </c>
      <c r="K5" s="48" t="s">
        <v>2041</v>
      </c>
      <c r="L5" s="48"/>
    </row>
    <row r="6" s="38" customFormat="1" ht="23.25" customHeight="1" spans="1:12">
      <c r="A6" s="45"/>
      <c r="B6" s="49"/>
      <c r="C6" s="49"/>
      <c r="D6" s="49"/>
      <c r="E6" s="50"/>
      <c r="F6" s="50"/>
      <c r="G6" s="49"/>
      <c r="H6" s="51" t="s">
        <v>14</v>
      </c>
      <c r="I6" s="66" t="s">
        <v>1856</v>
      </c>
      <c r="J6" s="49"/>
      <c r="K6" s="51" t="s">
        <v>14</v>
      </c>
      <c r="L6" s="66" t="s">
        <v>1856</v>
      </c>
    </row>
    <row r="7" s="37" customFormat="1" ht="27" customHeight="1" spans="1:12">
      <c r="A7" s="52" t="s">
        <v>2042</v>
      </c>
      <c r="B7" s="56">
        <f t="shared" ref="B7:G7" si="0">SUM(B14:B19)</f>
        <v>10316</v>
      </c>
      <c r="C7" s="56">
        <f t="shared" si="0"/>
        <v>10316</v>
      </c>
      <c r="D7" s="56">
        <f t="shared" si="0"/>
        <v>10128</v>
      </c>
      <c r="E7" s="73">
        <f t="shared" ref="E7:E23" si="1">D7/B7</f>
        <v>0.981775882124855</v>
      </c>
      <c r="F7" s="73">
        <f t="shared" ref="F7:F23" si="2">D7/C7</f>
        <v>0.981775882124855</v>
      </c>
      <c r="G7" s="74">
        <f t="shared" si="0"/>
        <v>0</v>
      </c>
      <c r="H7" s="56">
        <f>10128-9263</f>
        <v>865</v>
      </c>
      <c r="I7" s="73">
        <v>0.0934</v>
      </c>
      <c r="J7" s="56">
        <f>SUM(J14:J19)</f>
        <v>10257</v>
      </c>
      <c r="K7" s="56">
        <f>SUM(K14:K19)</f>
        <v>129</v>
      </c>
      <c r="L7" s="77">
        <f t="shared" ref="L7:L23" si="3">K7/D7</f>
        <v>0.0127369668246445</v>
      </c>
    </row>
    <row r="8" s="37" customFormat="1" ht="27" hidden="1" customHeight="1" spans="1:12">
      <c r="A8" s="52" t="s">
        <v>2043</v>
      </c>
      <c r="B8" s="56"/>
      <c r="C8" s="56"/>
      <c r="D8" s="56"/>
      <c r="E8" s="73" t="e">
        <f t="shared" si="1"/>
        <v>#DIV/0!</v>
      </c>
      <c r="F8" s="73" t="e">
        <f t="shared" si="2"/>
        <v>#DIV/0!</v>
      </c>
      <c r="G8" s="74"/>
      <c r="H8" s="56">
        <f t="shared" ref="H8:H13" si="4">D8-M8</f>
        <v>0</v>
      </c>
      <c r="I8" s="78" t="s">
        <v>291</v>
      </c>
      <c r="J8" s="56"/>
      <c r="K8" s="79">
        <v>0</v>
      </c>
      <c r="L8" s="77" t="e">
        <f t="shared" si="3"/>
        <v>#DIV/0!</v>
      </c>
    </row>
    <row r="9" s="37" customFormat="1" ht="27" hidden="1" customHeight="1" spans="1:12">
      <c r="A9" s="52" t="s">
        <v>2044</v>
      </c>
      <c r="B9" s="56"/>
      <c r="C9" s="56"/>
      <c r="D9" s="56"/>
      <c r="E9" s="73" t="e">
        <f t="shared" si="1"/>
        <v>#DIV/0!</v>
      </c>
      <c r="F9" s="73" t="e">
        <f t="shared" si="2"/>
        <v>#DIV/0!</v>
      </c>
      <c r="G9" s="74"/>
      <c r="H9" s="56">
        <f t="shared" si="4"/>
        <v>0</v>
      </c>
      <c r="I9" s="78" t="s">
        <v>291</v>
      </c>
      <c r="J9" s="56"/>
      <c r="K9" s="79">
        <v>0</v>
      </c>
      <c r="L9" s="77" t="e">
        <f t="shared" si="3"/>
        <v>#DIV/0!</v>
      </c>
    </row>
    <row r="10" s="37" customFormat="1" ht="27" hidden="1" customHeight="1" spans="1:12">
      <c r="A10" s="52" t="s">
        <v>2045</v>
      </c>
      <c r="B10" s="56"/>
      <c r="C10" s="56"/>
      <c r="D10" s="56"/>
      <c r="E10" s="73" t="e">
        <f t="shared" si="1"/>
        <v>#DIV/0!</v>
      </c>
      <c r="F10" s="73" t="e">
        <f t="shared" si="2"/>
        <v>#DIV/0!</v>
      </c>
      <c r="G10" s="74"/>
      <c r="H10" s="56">
        <f t="shared" si="4"/>
        <v>0</v>
      </c>
      <c r="I10" s="78" t="s">
        <v>291</v>
      </c>
      <c r="J10" s="56"/>
      <c r="K10" s="79">
        <v>0</v>
      </c>
      <c r="L10" s="77" t="e">
        <f t="shared" si="3"/>
        <v>#DIV/0!</v>
      </c>
    </row>
    <row r="11" s="37" customFormat="1" ht="27" hidden="1" customHeight="1" spans="1:12">
      <c r="A11" s="52" t="s">
        <v>2046</v>
      </c>
      <c r="B11" s="56"/>
      <c r="C11" s="56"/>
      <c r="D11" s="56"/>
      <c r="E11" s="73" t="e">
        <f t="shared" si="1"/>
        <v>#DIV/0!</v>
      </c>
      <c r="F11" s="73" t="e">
        <f t="shared" si="2"/>
        <v>#DIV/0!</v>
      </c>
      <c r="G11" s="74"/>
      <c r="H11" s="56">
        <f t="shared" si="4"/>
        <v>0</v>
      </c>
      <c r="I11" s="78" t="s">
        <v>291</v>
      </c>
      <c r="J11" s="56"/>
      <c r="K11" s="79">
        <v>0</v>
      </c>
      <c r="L11" s="77" t="e">
        <f t="shared" si="3"/>
        <v>#DIV/0!</v>
      </c>
    </row>
    <row r="12" s="37" customFormat="1" ht="27" hidden="1" customHeight="1" spans="1:12">
      <c r="A12" s="52" t="s">
        <v>2047</v>
      </c>
      <c r="B12" s="56"/>
      <c r="C12" s="56"/>
      <c r="D12" s="56"/>
      <c r="E12" s="73" t="e">
        <f t="shared" si="1"/>
        <v>#DIV/0!</v>
      </c>
      <c r="F12" s="73" t="e">
        <f t="shared" si="2"/>
        <v>#DIV/0!</v>
      </c>
      <c r="G12" s="74"/>
      <c r="H12" s="56">
        <f t="shared" si="4"/>
        <v>0</v>
      </c>
      <c r="I12" s="78" t="s">
        <v>291</v>
      </c>
      <c r="J12" s="56"/>
      <c r="K12" s="79">
        <v>0</v>
      </c>
      <c r="L12" s="77" t="e">
        <f t="shared" si="3"/>
        <v>#DIV/0!</v>
      </c>
    </row>
    <row r="13" s="37" customFormat="1" ht="27" hidden="1" customHeight="1" spans="1:12">
      <c r="A13" s="52" t="s">
        <v>2048</v>
      </c>
      <c r="B13" s="56"/>
      <c r="C13" s="56"/>
      <c r="D13" s="56"/>
      <c r="E13" s="73" t="e">
        <f t="shared" si="1"/>
        <v>#DIV/0!</v>
      </c>
      <c r="F13" s="73" t="e">
        <f t="shared" si="2"/>
        <v>#DIV/0!</v>
      </c>
      <c r="G13" s="74"/>
      <c r="H13" s="56">
        <f t="shared" si="4"/>
        <v>0</v>
      </c>
      <c r="I13" s="78" t="s">
        <v>291</v>
      </c>
      <c r="J13" s="56"/>
      <c r="K13" s="79">
        <v>0</v>
      </c>
      <c r="L13" s="77" t="e">
        <f t="shared" si="3"/>
        <v>#DIV/0!</v>
      </c>
    </row>
    <row r="14" s="37" customFormat="1" ht="27" customHeight="1" spans="1:12">
      <c r="A14" s="52" t="s">
        <v>2043</v>
      </c>
      <c r="B14" s="56">
        <v>2468</v>
      </c>
      <c r="C14" s="56">
        <v>2468</v>
      </c>
      <c r="D14" s="56">
        <v>2414</v>
      </c>
      <c r="E14" s="73">
        <f t="shared" si="1"/>
        <v>0.978119935170178</v>
      </c>
      <c r="F14" s="73">
        <f t="shared" si="2"/>
        <v>0.978119935170178</v>
      </c>
      <c r="G14" s="74"/>
      <c r="H14" s="56">
        <f>2414-1900</f>
        <v>514</v>
      </c>
      <c r="I14" s="78" t="s">
        <v>2049</v>
      </c>
      <c r="J14" s="56">
        <v>2432</v>
      </c>
      <c r="K14" s="79">
        <f t="shared" ref="K14:K25" si="5">J14-D14</f>
        <v>18</v>
      </c>
      <c r="L14" s="77">
        <f t="shared" si="3"/>
        <v>0.00745650372825186</v>
      </c>
    </row>
    <row r="15" s="37" customFormat="1" ht="27" customHeight="1" spans="1:12">
      <c r="A15" s="52" t="s">
        <v>2044</v>
      </c>
      <c r="B15" s="56">
        <v>7503</v>
      </c>
      <c r="C15" s="56">
        <v>7503</v>
      </c>
      <c r="D15" s="56">
        <v>7330</v>
      </c>
      <c r="E15" s="73">
        <f t="shared" si="1"/>
        <v>0.976942556310809</v>
      </c>
      <c r="F15" s="73">
        <f t="shared" si="2"/>
        <v>0.976942556310809</v>
      </c>
      <c r="G15" s="74"/>
      <c r="H15" s="56">
        <f>7330-6448</f>
        <v>882</v>
      </c>
      <c r="I15" s="78">
        <v>0.1368</v>
      </c>
      <c r="J15" s="56">
        <v>7452</v>
      </c>
      <c r="K15" s="79">
        <f t="shared" si="5"/>
        <v>122</v>
      </c>
      <c r="L15" s="77">
        <f t="shared" si="3"/>
        <v>0.016643929058663</v>
      </c>
    </row>
    <row r="16" s="37" customFormat="1" ht="27" customHeight="1" spans="1:12">
      <c r="A16" s="52" t="s">
        <v>2045</v>
      </c>
      <c r="B16" s="56">
        <v>78</v>
      </c>
      <c r="C16" s="56">
        <v>78</v>
      </c>
      <c r="D16" s="56">
        <v>103</v>
      </c>
      <c r="E16" s="73">
        <f t="shared" si="1"/>
        <v>1.32051282051282</v>
      </c>
      <c r="F16" s="73">
        <f t="shared" si="2"/>
        <v>1.32051282051282</v>
      </c>
      <c r="G16" s="74"/>
      <c r="H16" s="56">
        <f>103-83</f>
        <v>20</v>
      </c>
      <c r="I16" s="78">
        <v>0.241</v>
      </c>
      <c r="J16" s="56">
        <v>103</v>
      </c>
      <c r="K16" s="79">
        <f t="shared" si="5"/>
        <v>0</v>
      </c>
      <c r="L16" s="77">
        <f t="shared" si="3"/>
        <v>0</v>
      </c>
    </row>
    <row r="17" s="37" customFormat="1" ht="27" customHeight="1" spans="1:12">
      <c r="A17" s="52" t="s">
        <v>2046</v>
      </c>
      <c r="B17" s="56">
        <v>265</v>
      </c>
      <c r="C17" s="56">
        <v>265</v>
      </c>
      <c r="D17" s="56">
        <v>265</v>
      </c>
      <c r="E17" s="73">
        <f t="shared" si="1"/>
        <v>1</v>
      </c>
      <c r="F17" s="73">
        <f t="shared" si="2"/>
        <v>1</v>
      </c>
      <c r="G17" s="74"/>
      <c r="H17" s="56">
        <f>265-822</f>
        <v>-557</v>
      </c>
      <c r="I17" s="78">
        <v>-0.6776</v>
      </c>
      <c r="J17" s="56">
        <v>265</v>
      </c>
      <c r="K17" s="79">
        <f t="shared" si="5"/>
        <v>0</v>
      </c>
      <c r="L17" s="77">
        <f t="shared" si="3"/>
        <v>0</v>
      </c>
    </row>
    <row r="18" s="37" customFormat="1" ht="27" customHeight="1" spans="1:12">
      <c r="A18" s="52" t="s">
        <v>2048</v>
      </c>
      <c r="B18" s="56"/>
      <c r="C18" s="56"/>
      <c r="D18" s="56">
        <v>11</v>
      </c>
      <c r="E18" s="73"/>
      <c r="F18" s="73"/>
      <c r="G18" s="74"/>
      <c r="H18" s="56">
        <f>11-6</f>
        <v>5</v>
      </c>
      <c r="I18" s="78">
        <v>0.8333</v>
      </c>
      <c r="J18" s="56"/>
      <c r="K18" s="79">
        <f t="shared" si="5"/>
        <v>-11</v>
      </c>
      <c r="L18" s="77">
        <f t="shared" si="3"/>
        <v>-1</v>
      </c>
    </row>
    <row r="19" s="37" customFormat="1" ht="27" customHeight="1" spans="1:12">
      <c r="A19" s="52" t="s">
        <v>2050</v>
      </c>
      <c r="B19" s="56">
        <v>2</v>
      </c>
      <c r="C19" s="56">
        <v>2</v>
      </c>
      <c r="D19" s="56">
        <v>5</v>
      </c>
      <c r="E19" s="73">
        <f t="shared" si="1"/>
        <v>2.5</v>
      </c>
      <c r="F19" s="73">
        <f t="shared" si="2"/>
        <v>2.5</v>
      </c>
      <c r="G19" s="74"/>
      <c r="H19" s="56">
        <f>5-4</f>
        <v>1</v>
      </c>
      <c r="I19" s="78">
        <v>0.25</v>
      </c>
      <c r="J19" s="56">
        <v>5</v>
      </c>
      <c r="K19" s="79">
        <f t="shared" si="5"/>
        <v>0</v>
      </c>
      <c r="L19" s="77">
        <f t="shared" si="3"/>
        <v>0</v>
      </c>
    </row>
    <row r="20" s="37" customFormat="1" ht="27" customHeight="1" spans="1:12">
      <c r="A20" s="52" t="s">
        <v>2051</v>
      </c>
      <c r="B20" s="56">
        <f t="shared" ref="B20:G20" si="6">SUM(B21:B25)</f>
        <v>18706</v>
      </c>
      <c r="C20" s="56">
        <f t="shared" si="6"/>
        <v>18706</v>
      </c>
      <c r="D20" s="56">
        <f t="shared" si="6"/>
        <v>19247</v>
      </c>
      <c r="E20" s="73">
        <f t="shared" si="1"/>
        <v>1.02892120175345</v>
      </c>
      <c r="F20" s="73">
        <f t="shared" si="2"/>
        <v>1.02892120175345</v>
      </c>
      <c r="G20" s="74">
        <f t="shared" si="6"/>
        <v>0</v>
      </c>
      <c r="H20" s="56">
        <f>19247-14442</f>
        <v>4805</v>
      </c>
      <c r="I20" s="54">
        <v>0.3327</v>
      </c>
      <c r="J20" s="56">
        <f>SUM(J21:J25)</f>
        <v>21159</v>
      </c>
      <c r="K20" s="79">
        <f t="shared" si="5"/>
        <v>1912</v>
      </c>
      <c r="L20" s="77">
        <f t="shared" si="3"/>
        <v>0.09934015690757</v>
      </c>
    </row>
    <row r="21" s="37" customFormat="1" ht="27" customHeight="1" spans="1:12">
      <c r="A21" s="52" t="s">
        <v>2052</v>
      </c>
      <c r="B21" s="56">
        <v>14368</v>
      </c>
      <c r="C21" s="56">
        <v>14368</v>
      </c>
      <c r="D21" s="56">
        <v>13552</v>
      </c>
      <c r="E21" s="73">
        <f t="shared" si="1"/>
        <v>0.943207126948775</v>
      </c>
      <c r="F21" s="73">
        <f t="shared" si="2"/>
        <v>0.943207126948775</v>
      </c>
      <c r="G21" s="74"/>
      <c r="H21" s="56">
        <f>13552-13151</f>
        <v>401</v>
      </c>
      <c r="I21" s="78">
        <v>0.0305</v>
      </c>
      <c r="J21" s="56">
        <v>14770</v>
      </c>
      <c r="K21" s="79">
        <f t="shared" si="5"/>
        <v>1218</v>
      </c>
      <c r="L21" s="77">
        <f t="shared" si="3"/>
        <v>0.0898760330578512</v>
      </c>
    </row>
    <row r="22" s="37" customFormat="1" ht="27" customHeight="1" spans="1:12">
      <c r="A22" s="52" t="s">
        <v>2044</v>
      </c>
      <c r="B22" s="56">
        <v>4236</v>
      </c>
      <c r="C22" s="56">
        <v>4236</v>
      </c>
      <c r="D22" s="56">
        <v>5501</v>
      </c>
      <c r="E22" s="73">
        <f t="shared" si="1"/>
        <v>1.29863078375826</v>
      </c>
      <c r="F22" s="73">
        <f t="shared" si="2"/>
        <v>1.29863078375826</v>
      </c>
      <c r="G22" s="74"/>
      <c r="H22" s="56">
        <f>5501-1160</f>
        <v>4341</v>
      </c>
      <c r="I22" s="78">
        <v>3.7422</v>
      </c>
      <c r="J22" s="56">
        <v>6327</v>
      </c>
      <c r="K22" s="79">
        <f t="shared" si="5"/>
        <v>826</v>
      </c>
      <c r="L22" s="77">
        <f t="shared" si="3"/>
        <v>0.15015451736048</v>
      </c>
    </row>
    <row r="23" s="37" customFormat="1" ht="27" customHeight="1" spans="1:12">
      <c r="A23" s="52" t="s">
        <v>2045</v>
      </c>
      <c r="B23" s="56">
        <v>42</v>
      </c>
      <c r="C23" s="56">
        <v>42</v>
      </c>
      <c r="D23" s="56">
        <v>18</v>
      </c>
      <c r="E23" s="73">
        <f t="shared" si="1"/>
        <v>0.428571428571429</v>
      </c>
      <c r="F23" s="73">
        <f t="shared" si="2"/>
        <v>0.428571428571429</v>
      </c>
      <c r="G23" s="74"/>
      <c r="H23" s="56">
        <f>18-35</f>
        <v>-17</v>
      </c>
      <c r="I23" s="78">
        <v>-0.4857</v>
      </c>
      <c r="J23" s="56">
        <v>5</v>
      </c>
      <c r="K23" s="79">
        <f t="shared" si="5"/>
        <v>-13</v>
      </c>
      <c r="L23" s="77">
        <f t="shared" si="3"/>
        <v>-0.722222222222222</v>
      </c>
    </row>
    <row r="24" s="37" customFormat="1" ht="27" customHeight="1" spans="1:12">
      <c r="A24" s="52" t="s">
        <v>2046</v>
      </c>
      <c r="B24" s="56"/>
      <c r="C24" s="56"/>
      <c r="D24" s="56"/>
      <c r="E24" s="73"/>
      <c r="F24" s="73"/>
      <c r="G24" s="74"/>
      <c r="H24" s="56">
        <f>D24-M24</f>
        <v>0</v>
      </c>
      <c r="I24" s="78"/>
      <c r="J24" s="56"/>
      <c r="K24" s="79">
        <f t="shared" si="5"/>
        <v>0</v>
      </c>
      <c r="L24" s="77"/>
    </row>
    <row r="25" s="37" customFormat="1" ht="27" customHeight="1" spans="1:12">
      <c r="A25" s="52" t="s">
        <v>2050</v>
      </c>
      <c r="B25" s="56">
        <v>60</v>
      </c>
      <c r="C25" s="56">
        <v>60</v>
      </c>
      <c r="D25" s="56">
        <v>176</v>
      </c>
      <c r="E25" s="73">
        <f t="shared" ref="E25:E31" si="7">D25/B25</f>
        <v>2.93333333333333</v>
      </c>
      <c r="F25" s="73">
        <f t="shared" ref="F25:F31" si="8">D25/C25</f>
        <v>2.93333333333333</v>
      </c>
      <c r="G25" s="74"/>
      <c r="H25" s="56">
        <f>176-96</f>
        <v>80</v>
      </c>
      <c r="I25" s="78">
        <v>0.8333</v>
      </c>
      <c r="J25" s="56">
        <v>57</v>
      </c>
      <c r="K25" s="79">
        <f t="shared" si="5"/>
        <v>-119</v>
      </c>
      <c r="L25" s="77">
        <f t="shared" ref="L25:L31" si="9">K25/D25</f>
        <v>-0.676136363636364</v>
      </c>
    </row>
    <row r="26" s="37" customFormat="1" ht="27" customHeight="1" spans="1:12">
      <c r="A26" s="57" t="s">
        <v>2053</v>
      </c>
      <c r="B26" s="60">
        <f>B7+B20</f>
        <v>29022</v>
      </c>
      <c r="C26" s="60">
        <f>C7+C20</f>
        <v>29022</v>
      </c>
      <c r="D26" s="60">
        <f>D7+D20</f>
        <v>29375</v>
      </c>
      <c r="E26" s="73">
        <f t="shared" si="7"/>
        <v>1.01216318654814</v>
      </c>
      <c r="F26" s="73">
        <f t="shared" si="8"/>
        <v>1.01216318654814</v>
      </c>
      <c r="G26" s="62" t="e">
        <f>G7+G20+#REF!</f>
        <v>#REF!</v>
      </c>
      <c r="H26" s="60">
        <f>29375-23705</f>
        <v>5670</v>
      </c>
      <c r="I26" s="69">
        <v>0.2392</v>
      </c>
      <c r="J26" s="60">
        <f>J7+J20</f>
        <v>31416</v>
      </c>
      <c r="K26" s="60">
        <f>K7+K20</f>
        <v>2041</v>
      </c>
      <c r="L26" s="77">
        <f t="shared" si="9"/>
        <v>0.0694808510638298</v>
      </c>
    </row>
    <row r="27" s="37" customFormat="1" ht="27" customHeight="1" spans="1:12">
      <c r="A27" s="61" t="s">
        <v>1878</v>
      </c>
      <c r="B27" s="60">
        <f t="shared" ref="B27:G27" si="10">SUM(B28)</f>
        <v>15683</v>
      </c>
      <c r="C27" s="60">
        <f t="shared" si="10"/>
        <v>15683</v>
      </c>
      <c r="D27" s="60">
        <f t="shared" si="10"/>
        <v>16174</v>
      </c>
      <c r="E27" s="73">
        <f t="shared" si="7"/>
        <v>1.03130778550022</v>
      </c>
      <c r="F27" s="73">
        <f t="shared" si="8"/>
        <v>1.03130778550022</v>
      </c>
      <c r="G27" s="62">
        <f t="shared" si="10"/>
        <v>0</v>
      </c>
      <c r="H27" s="60">
        <f>16174-18002</f>
        <v>-1828</v>
      </c>
      <c r="I27" s="69">
        <v>-0.1015</v>
      </c>
      <c r="J27" s="60">
        <f>SUM(J28)</f>
        <v>18602</v>
      </c>
      <c r="K27" s="79">
        <f t="shared" ref="K27:K30" si="11">J27-D27</f>
        <v>2428</v>
      </c>
      <c r="L27" s="77">
        <f t="shared" si="9"/>
        <v>0.150117472486707</v>
      </c>
    </row>
    <row r="28" s="37" customFormat="1" ht="27" customHeight="1" spans="1:12">
      <c r="A28" s="63" t="s">
        <v>1882</v>
      </c>
      <c r="B28" s="56">
        <f t="shared" ref="B28:G28" si="12">SUM(B29:B30)</f>
        <v>15683</v>
      </c>
      <c r="C28" s="56">
        <f t="shared" si="12"/>
        <v>15683</v>
      </c>
      <c r="D28" s="56">
        <f t="shared" si="12"/>
        <v>16174</v>
      </c>
      <c r="E28" s="73">
        <f t="shared" si="7"/>
        <v>1.03130778550022</v>
      </c>
      <c r="F28" s="73">
        <f t="shared" si="8"/>
        <v>1.03130778550022</v>
      </c>
      <c r="G28" s="74">
        <f t="shared" si="12"/>
        <v>0</v>
      </c>
      <c r="H28" s="56">
        <f>16174-18002</f>
        <v>-1828</v>
      </c>
      <c r="I28" s="54">
        <v>-0.1015</v>
      </c>
      <c r="J28" s="56">
        <f>SUM(J29:J30)</f>
        <v>18602</v>
      </c>
      <c r="K28" s="79">
        <f t="shared" si="11"/>
        <v>2428</v>
      </c>
      <c r="L28" s="77">
        <f t="shared" si="9"/>
        <v>0.150117472486707</v>
      </c>
    </row>
    <row r="29" s="37" customFormat="1" ht="27" customHeight="1" spans="1:12">
      <c r="A29" s="52" t="s">
        <v>2054</v>
      </c>
      <c r="B29" s="56">
        <v>14779</v>
      </c>
      <c r="C29" s="56">
        <v>14779</v>
      </c>
      <c r="D29" s="60">
        <v>15174</v>
      </c>
      <c r="E29" s="73">
        <f t="shared" si="7"/>
        <v>1.02672711279518</v>
      </c>
      <c r="F29" s="73">
        <f t="shared" si="8"/>
        <v>1.02672711279518</v>
      </c>
      <c r="G29" s="74"/>
      <c r="H29" s="56">
        <f>15174-12615</f>
        <v>2559</v>
      </c>
      <c r="I29" s="78">
        <v>0.2029</v>
      </c>
      <c r="J29" s="56">
        <v>18466</v>
      </c>
      <c r="K29" s="79">
        <f t="shared" si="11"/>
        <v>3292</v>
      </c>
      <c r="L29" s="77">
        <f t="shared" si="9"/>
        <v>0.216950046131541</v>
      </c>
    </row>
    <row r="30" s="37" customFormat="1" ht="27" customHeight="1" spans="1:12">
      <c r="A30" s="52" t="s">
        <v>2055</v>
      </c>
      <c r="B30" s="56">
        <v>904</v>
      </c>
      <c r="C30" s="56">
        <v>904</v>
      </c>
      <c r="D30" s="60">
        <v>1000</v>
      </c>
      <c r="E30" s="73">
        <f t="shared" si="7"/>
        <v>1.10619469026549</v>
      </c>
      <c r="F30" s="73">
        <f t="shared" si="8"/>
        <v>1.10619469026549</v>
      </c>
      <c r="G30" s="74"/>
      <c r="H30" s="56">
        <f>1000-5387</f>
        <v>-4387</v>
      </c>
      <c r="I30" s="78">
        <v>-0.8144</v>
      </c>
      <c r="J30" s="56">
        <v>136</v>
      </c>
      <c r="K30" s="79">
        <f t="shared" si="11"/>
        <v>-864</v>
      </c>
      <c r="L30" s="77">
        <f t="shared" si="9"/>
        <v>-0.864</v>
      </c>
    </row>
    <row r="31" s="37" customFormat="1" ht="27" customHeight="1" spans="1:12">
      <c r="A31" s="57" t="s">
        <v>112</v>
      </c>
      <c r="B31" s="60">
        <f t="shared" ref="B31:H31" si="13">SUM(B26:B27)</f>
        <v>44705</v>
      </c>
      <c r="C31" s="60">
        <f t="shared" si="13"/>
        <v>44705</v>
      </c>
      <c r="D31" s="60">
        <f t="shared" si="13"/>
        <v>45549</v>
      </c>
      <c r="E31" s="73">
        <f t="shared" si="7"/>
        <v>1.01887931998658</v>
      </c>
      <c r="F31" s="73">
        <f t="shared" si="8"/>
        <v>1.01887931998658</v>
      </c>
      <c r="G31" s="62" t="e">
        <f t="shared" si="13"/>
        <v>#REF!</v>
      </c>
      <c r="H31" s="60">
        <f t="shared" si="13"/>
        <v>3842</v>
      </c>
      <c r="I31" s="80">
        <v>0.0921</v>
      </c>
      <c r="J31" s="60">
        <f>SUM(J26:J27)</f>
        <v>50018</v>
      </c>
      <c r="K31" s="60">
        <f>SUM(K26:K27)</f>
        <v>4469</v>
      </c>
      <c r="L31" s="77">
        <f t="shared" si="9"/>
        <v>0.0981141188610068</v>
      </c>
    </row>
    <row r="32" s="37" customFormat="1" spans="2:12">
      <c r="B32" s="70"/>
      <c r="C32" s="70"/>
      <c r="D32" s="70"/>
      <c r="E32" s="70"/>
      <c r="F32" s="70"/>
      <c r="G32" s="70"/>
      <c r="H32" s="70"/>
      <c r="I32" s="70"/>
      <c r="J32" s="70"/>
      <c r="K32" s="70"/>
      <c r="L32" s="70"/>
    </row>
    <row r="33" s="37" customFormat="1" spans="2:12">
      <c r="B33" s="70"/>
      <c r="C33" s="70"/>
      <c r="D33" s="70"/>
      <c r="E33" s="70"/>
      <c r="F33" s="70"/>
      <c r="G33" s="70"/>
      <c r="H33" s="70"/>
      <c r="I33" s="70"/>
      <c r="J33" s="70"/>
      <c r="K33" s="70"/>
      <c r="L33" s="70"/>
    </row>
    <row r="34" s="37" customFormat="1" spans="2:12">
      <c r="B34" s="70"/>
      <c r="C34" s="70"/>
      <c r="D34" s="70"/>
      <c r="E34" s="70"/>
      <c r="F34" s="70"/>
      <c r="G34" s="70"/>
      <c r="H34" s="70"/>
      <c r="I34" s="70"/>
      <c r="J34" s="70"/>
      <c r="K34" s="70"/>
      <c r="L34" s="70"/>
    </row>
    <row r="35" s="37" customFormat="1" spans="2:12">
      <c r="B35" s="70"/>
      <c r="C35" s="70"/>
      <c r="D35" s="70"/>
      <c r="E35" s="70"/>
      <c r="F35" s="70"/>
      <c r="G35" s="70"/>
      <c r="H35" s="70"/>
      <c r="I35" s="70"/>
      <c r="J35" s="70"/>
      <c r="K35" s="70"/>
      <c r="L35" s="70"/>
    </row>
    <row r="36" s="37" customFormat="1" spans="2:12">
      <c r="B36" s="70"/>
      <c r="C36" s="70"/>
      <c r="D36" s="70"/>
      <c r="E36" s="70"/>
      <c r="F36" s="70"/>
      <c r="G36" s="70"/>
      <c r="H36" s="70"/>
      <c r="I36" s="70"/>
      <c r="J36" s="70"/>
      <c r="K36" s="70"/>
      <c r="L36" s="70"/>
    </row>
    <row r="37" s="37" customFormat="1" spans="2:12">
      <c r="B37" s="70"/>
      <c r="C37" s="70"/>
      <c r="D37" s="70"/>
      <c r="E37" s="70"/>
      <c r="F37" s="70"/>
      <c r="G37" s="70"/>
      <c r="H37" s="70"/>
      <c r="I37" s="70"/>
      <c r="J37" s="70"/>
      <c r="K37" s="70"/>
      <c r="L37" s="70"/>
    </row>
    <row r="38" s="37" customFormat="1" spans="2:12">
      <c r="B38" s="70"/>
      <c r="C38" s="70"/>
      <c r="D38" s="70"/>
      <c r="E38" s="70"/>
      <c r="F38" s="70"/>
      <c r="G38" s="70"/>
      <c r="H38" s="70"/>
      <c r="I38" s="70"/>
      <c r="J38" s="70"/>
      <c r="K38" s="70"/>
      <c r="L38" s="70"/>
    </row>
    <row r="39" s="37" customFormat="1" spans="2:12">
      <c r="B39" s="70"/>
      <c r="C39" s="70"/>
      <c r="D39" s="70"/>
      <c r="E39" s="70"/>
      <c r="F39" s="70"/>
      <c r="G39" s="70"/>
      <c r="H39" s="70"/>
      <c r="I39" s="70"/>
      <c r="J39" s="70"/>
      <c r="K39" s="70"/>
      <c r="L39" s="70"/>
    </row>
    <row r="40" s="37" customFormat="1" spans="2:12">
      <c r="B40" s="70"/>
      <c r="C40" s="70"/>
      <c r="D40" s="70"/>
      <c r="E40" s="70"/>
      <c r="F40" s="70"/>
      <c r="G40" s="70"/>
      <c r="H40" s="70"/>
      <c r="I40" s="70"/>
      <c r="J40" s="70"/>
      <c r="K40" s="70"/>
      <c r="L40" s="70"/>
    </row>
    <row r="41" s="37" customFormat="1" spans="2:12">
      <c r="B41" s="70"/>
      <c r="C41" s="70"/>
      <c r="D41" s="70"/>
      <c r="E41" s="70"/>
      <c r="F41" s="70"/>
      <c r="G41" s="70"/>
      <c r="H41" s="70"/>
      <c r="I41" s="70"/>
      <c r="J41" s="70"/>
      <c r="K41" s="70"/>
      <c r="L41" s="70"/>
    </row>
    <row r="42" s="37" customFormat="1" spans="2:12">
      <c r="B42" s="70"/>
      <c r="C42" s="70"/>
      <c r="D42" s="70"/>
      <c r="E42" s="70"/>
      <c r="F42" s="70"/>
      <c r="G42" s="70"/>
      <c r="H42" s="70"/>
      <c r="I42" s="70"/>
      <c r="J42" s="70"/>
      <c r="K42" s="70"/>
      <c r="L42" s="70"/>
    </row>
    <row r="43" s="37" customFormat="1" spans="2:12">
      <c r="B43" s="70"/>
      <c r="C43" s="70"/>
      <c r="D43" s="70"/>
      <c r="E43" s="70"/>
      <c r="F43" s="70"/>
      <c r="G43" s="70"/>
      <c r="H43" s="70"/>
      <c r="I43" s="70"/>
      <c r="J43" s="70"/>
      <c r="K43" s="70"/>
      <c r="L43" s="70"/>
    </row>
    <row r="44" s="37" customFormat="1" spans="2:12">
      <c r="B44" s="70"/>
      <c r="C44" s="70"/>
      <c r="D44" s="70"/>
      <c r="E44" s="70"/>
      <c r="F44" s="70"/>
      <c r="G44" s="70" t="s">
        <v>2056</v>
      </c>
      <c r="H44" s="70"/>
      <c r="I44" s="70"/>
      <c r="J44" s="70"/>
      <c r="K44" s="70"/>
      <c r="L44" s="70"/>
    </row>
  </sheetData>
  <mergeCells count="13">
    <mergeCell ref="A2:L2"/>
    <mergeCell ref="B4:I4"/>
    <mergeCell ref="J4:L4"/>
    <mergeCell ref="H5:I5"/>
    <mergeCell ref="K5:L5"/>
    <mergeCell ref="A4:A6"/>
    <mergeCell ref="B5:B6"/>
    <mergeCell ref="C5:C6"/>
    <mergeCell ref="D5:D6"/>
    <mergeCell ref="E5:E6"/>
    <mergeCell ref="F5:F6"/>
    <mergeCell ref="G5:G6"/>
    <mergeCell ref="J5:J6"/>
  </mergeCells>
  <pageMargins left="0.357638888888889" right="0.357638888888889" top="0.409027777777778" bottom="0.60625" header="0.5" footer="0.5"/>
  <pageSetup paperSize="9" firstPageNumber="117"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一般公共预算收入</vt:lpstr>
      <vt:lpstr>一般公共预算支出</vt:lpstr>
      <vt:lpstr>收入明细表</vt:lpstr>
      <vt:lpstr>支出明细表</vt:lpstr>
      <vt:lpstr>政府经济科目</vt:lpstr>
      <vt:lpstr>政府性基金收入</vt:lpstr>
      <vt:lpstr>政府性基金支出</vt:lpstr>
      <vt:lpstr>政府性基金支出明细</vt:lpstr>
      <vt:lpstr>社保基金收入</vt:lpstr>
      <vt:lpstr>社保基金支出</vt:lpstr>
      <vt:lpstr>国有资本经营收入</vt:lpstr>
      <vt:lpstr>国有资本经营支出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一亦怡</cp:lastModifiedBy>
  <dcterms:created xsi:type="dcterms:W3CDTF">2020-12-15T03:26:00Z</dcterms:created>
  <dcterms:modified xsi:type="dcterms:W3CDTF">2021-11-16T01:29:04Z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2052-11.1.0.10502</vt:lpwstr>
  </property>
  <property fmtid="{D5CDD505-2E9C-101B-9397-08002B2CF9AE}" pid="3" name="ICV">
    <vt:lpwstr>0A8F471A981842318640D45363E8AECF</vt:lpwstr>
  </property>
</Properties>
</file>