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3" activeTab="3"/>
  </bookViews>
  <sheets>
    <sheet name="一般公共预算收入" sheetId="1" r:id="rId1"/>
    <sheet name="一般公共预算支出" sheetId="2" r:id="rId2"/>
    <sheet name="收入明细表" sheetId="3" r:id="rId3"/>
    <sheet name="支出明细表" sheetId="4" r:id="rId4"/>
    <sheet name="政府性基金收入" sheetId="6" r:id="rId5"/>
    <sheet name="政府性基金支出" sheetId="7" r:id="rId6"/>
    <sheet name="政府性基金支出明细" sheetId="12" r:id="rId7"/>
    <sheet name="社保基金收入" sheetId="8" r:id="rId8"/>
    <sheet name="社保基金支出" sheetId="9" r:id="rId9"/>
  </sheets>
  <externalReferences>
    <externalReference r:id="rId10"/>
  </externalReferences>
  <definedNames>
    <definedName name="_xlnm._FilterDatabase" localSheetId="3" hidden="1">支出明细表!$A$7:$XEP$1692</definedName>
    <definedName name="_xlnm._FilterDatabase" localSheetId="0" hidden="1">一般公共预算收入!$A$6:$N$102</definedName>
    <definedName name="_xlnm._FilterDatabase" localSheetId="1" hidden="1">一般公共预算支出!$K$34:$L$34</definedName>
    <definedName name="_xlnm.Print_Area" localSheetId="0">一般公共预算收入!$A$1:$K$102</definedName>
    <definedName name="_xlnm.Print_Area" localSheetId="5">政府性基金支出!$A$1:$O$68</definedName>
    <definedName name="_xlnm.Print_Titles" localSheetId="7">社保基金收入!$2:$7</definedName>
    <definedName name="_xlnm.Print_Titles" localSheetId="8">社保基金支出!$3:$7</definedName>
    <definedName name="_xlnm.Print_Titles" localSheetId="2">收入明细表!$1:$5</definedName>
    <definedName name="_xlnm.Print_Titles" localSheetId="0">一般公共预算收入!$1:$6</definedName>
    <definedName name="_xlnm.Print_Titles" localSheetId="1">一般公共预算支出!$1:$6</definedName>
    <definedName name="_xlnm.Print_Titles" localSheetId="4">政府性基金收入!$1:$6</definedName>
    <definedName name="_xlnm.Print_Titles" localSheetId="5">政府性基金支出!$1:$6</definedName>
    <definedName name="_xlnm.Print_Titles" localSheetId="6">政府性基金支出明细!$1:$6</definedName>
    <definedName name="_xlnm.Print_Titles" localSheetId="3">支出明细表!$1:$6</definedName>
    <definedName name="_xlnm.Print_Area" localSheetId="3">支出明细表!$A$1:$M$1692</definedName>
    <definedName name="_xlnm.Print_Area" localSheetId="2">收入明细表!$A$1:$F$113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基数95万元，乡镇卫生院工资289.62万元。</t>
        </r>
      </text>
    </comment>
  </commentList>
</comments>
</file>

<file path=xl/sharedStrings.xml><?xml version="1.0" encoding="utf-8"?>
<sst xmlns="http://schemas.openxmlformats.org/spreadsheetml/2006/main" count="2970" uniqueCount="1650">
  <si>
    <t>附件1</t>
  </si>
  <si>
    <t>环江毛南族自治县2022年一般公共财政预算收入预算表</t>
  </si>
  <si>
    <t>单位：万元</t>
  </si>
  <si>
    <t>项目</t>
  </si>
  <si>
    <t>2021年执行情况</t>
  </si>
  <si>
    <t>2022年预算</t>
  </si>
  <si>
    <t>2021年初预算数</t>
  </si>
  <si>
    <t>2021年调整预算数</t>
  </si>
  <si>
    <t>2021年执行数</t>
  </si>
  <si>
    <t>完成调整预算%</t>
  </si>
  <si>
    <t>2020年
执行数</t>
  </si>
  <si>
    <t>比2020年增减</t>
  </si>
  <si>
    <t>建议数</t>
  </si>
  <si>
    <t>比2021年完成数增减</t>
  </si>
  <si>
    <t>金额</t>
  </si>
  <si>
    <t>%</t>
  </si>
  <si>
    <t>％</t>
  </si>
  <si>
    <t>一、税收收入</t>
  </si>
  <si>
    <t xml:space="preserve">  1、国内增值税</t>
  </si>
  <si>
    <t xml:space="preserve">  2、营业税改征增值税</t>
  </si>
  <si>
    <t xml:space="preserve">  3、消费税</t>
  </si>
  <si>
    <t xml:space="preserve">  4、企业所得税</t>
  </si>
  <si>
    <t xml:space="preserve">  5、个人所得税</t>
  </si>
  <si>
    <t xml:space="preserve">  6、资源税</t>
  </si>
  <si>
    <t xml:space="preserve">  7、城市维护建设税</t>
  </si>
  <si>
    <t xml:space="preserve">  8、房产税</t>
  </si>
  <si>
    <t xml:space="preserve">  9、印花税</t>
  </si>
  <si>
    <t xml:space="preserve">  10、城镇土地使用税</t>
  </si>
  <si>
    <t xml:space="preserve">  11、土地增值税</t>
  </si>
  <si>
    <t xml:space="preserve">  12、车船使用和牌照税</t>
  </si>
  <si>
    <t xml:space="preserve">  13、耕地占用税</t>
  </si>
  <si>
    <t xml:space="preserve">  14、契税</t>
  </si>
  <si>
    <t xml:space="preserve">  15、环境保护税</t>
  </si>
  <si>
    <t xml:space="preserve">  16、其他税收收入</t>
  </si>
  <si>
    <t>二、非税收入</t>
  </si>
  <si>
    <t xml:space="preserve">  1、专项收入</t>
  </si>
  <si>
    <t xml:space="preserve">  2、行政事业性收费收入</t>
  </si>
  <si>
    <t xml:space="preserve">  3、罚没收入</t>
  </si>
  <si>
    <t xml:space="preserve">  4、国有资本经营收入</t>
  </si>
  <si>
    <t xml:space="preserve">  5、国有资源（资产）有偿使用收入</t>
  </si>
  <si>
    <t xml:space="preserve">  6.捐赠收入</t>
  </si>
  <si>
    <t xml:space="preserve">  7、政府住房基金收入</t>
  </si>
  <si>
    <t xml:space="preserve">  8、其他收入</t>
  </si>
  <si>
    <t>一般公共财政预算收入小计</t>
  </si>
  <si>
    <t xml:space="preserve"> 转移性收入小计</t>
  </si>
  <si>
    <t xml:space="preserve">  上级补助收入</t>
  </si>
  <si>
    <t xml:space="preserve">    返还性收入</t>
  </si>
  <si>
    <t xml:space="preserve">      增值税和消费税税收返还收入 </t>
  </si>
  <si>
    <t xml:space="preserve">      营改增税收返还收入 </t>
  </si>
  <si>
    <t xml:space="preserve">      所得税基数返还收入</t>
  </si>
  <si>
    <t xml:space="preserve">      成品油价格和税费改革税收返还收入</t>
  </si>
  <si>
    <t xml:space="preserve">      其他税收返还收入</t>
  </si>
  <si>
    <t xml:space="preserve">   一般性转移支付收入</t>
  </si>
  <si>
    <t xml:space="preserve">      体制补助收入</t>
  </si>
  <si>
    <t xml:space="preserve">      均衡性转移支付收入</t>
  </si>
  <si>
    <t xml:space="preserve">       革命老区支付收入</t>
  </si>
  <si>
    <t xml:space="preserve">       民族地区转移支付收入</t>
  </si>
  <si>
    <t>欠发达地区转移支付收入</t>
  </si>
  <si>
    <t xml:space="preserve">      县级基本财力保障机制奖补资金收入</t>
  </si>
  <si>
    <t xml:space="preserve">      结算补助收入</t>
  </si>
  <si>
    <t xml:space="preserve">     农村综合改革转移支付收入</t>
  </si>
  <si>
    <t xml:space="preserve">      基层公检法司转移支付收入</t>
  </si>
  <si>
    <t xml:space="preserve">      义务教育等转移支付收入</t>
  </si>
  <si>
    <t xml:space="preserve">      基本养老保险转移支付收入</t>
  </si>
  <si>
    <t xml:space="preserve">      新型农村合作医疗等转移支付收入</t>
  </si>
  <si>
    <t xml:space="preserve">      公共安全共同财政事权转移支付收入</t>
  </si>
  <si>
    <t xml:space="preserve">      教育共同财政事权转移支付收入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</si>
  <si>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</si>
  <si>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</si>
  <si>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医疗卫生共同财政事权转移支付收入</t>
  </si>
  <si>
    <t xml:space="preserve">      节能环保共同财政事权转移支付收入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</si>
  <si>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</si>
  <si>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</si>
  <si>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住房保障共同财政事权转移支付收入</t>
  </si>
  <si>
    <t xml:space="preserve">      其他共同财政事权转移支付收入</t>
  </si>
  <si>
    <t xml:space="preserve">      重点生态功能区转移支付收入</t>
  </si>
  <si>
    <t xml:space="preserve">      固定数额补助收入</t>
  </si>
  <si>
    <t xml:space="preserve">      其他一般性转移支付收入</t>
  </si>
  <si>
    <t xml:space="preserve">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</si>
  <si>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</si>
  <si>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</si>
  <si>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</si>
  <si>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</si>
  <si>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</si>
  <si>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</si>
  <si>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文化旅游体育与传媒支出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</si>
  <si>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</si>
  <si>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</si>
  <si>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</si>
  <si>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</si>
  <si>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</si>
  <si>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</si>
  <si>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资源勘探电力信息等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</si>
  <si>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</si>
  <si>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</si>
  <si>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</si>
  <si>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</si>
  <si>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</si>
  <si>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</si>
  <si>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</si>
  <si>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待偿债置换一般债券上年结余</t>
  </si>
  <si>
    <t xml:space="preserve">  上年结余收入</t>
  </si>
  <si>
    <t xml:space="preserve">    上年结转</t>
  </si>
  <si>
    <t xml:space="preserve">      原公共财政结转</t>
  </si>
  <si>
    <t xml:space="preserve">      基金转入公共财政结转</t>
  </si>
  <si>
    <t xml:space="preserve">    净结余</t>
  </si>
  <si>
    <t>专款财力</t>
  </si>
  <si>
    <t xml:space="preserve">  调入资金</t>
  </si>
  <si>
    <t xml:space="preserve">  调入预算稳定调节基金</t>
  </si>
  <si>
    <t xml:space="preserve">  债券转贷收入</t>
  </si>
  <si>
    <t xml:space="preserve">  接受其他地区援助收入</t>
  </si>
  <si>
    <t>收入总计</t>
  </si>
  <si>
    <t>附件2</t>
  </si>
  <si>
    <t>环江毛南族自治县2022年一般公共财政预算支出预算表</t>
  </si>
  <si>
    <t>年初预算</t>
  </si>
  <si>
    <t>年度指标数</t>
  </si>
  <si>
    <t>完成年度
预算％</t>
  </si>
  <si>
    <t>结转2016年使用资金</t>
  </si>
  <si>
    <t>比2020年完成数增减</t>
  </si>
  <si>
    <t>其中本级财力安排</t>
  </si>
  <si>
    <t>剔除不可比因素比2021年年初预算(本级财力安排)增减</t>
  </si>
  <si>
    <t>2020结余</t>
  </si>
  <si>
    <t>合计</t>
  </si>
  <si>
    <t>上级专款文指标结余汇总表</t>
  </si>
  <si>
    <t>一、一般公共服务</t>
  </si>
  <si>
    <t>二、外交支出</t>
  </si>
  <si>
    <t>三、国防支出</t>
  </si>
  <si>
    <t>四、公共安全支出</t>
  </si>
  <si>
    <t>修改</t>
  </si>
  <si>
    <t>增加108+19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</si>
  <si>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</si>
  <si>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</si>
  <si>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</si>
  <si>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</si>
  <si>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</si>
  <si>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增136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</si>
  <si>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</si>
  <si>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</si>
  <si>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</si>
  <si>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</si>
  <si>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</si>
  <si>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</si>
  <si>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</si>
  <si>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</si>
  <si>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</si>
  <si>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一十九、粮油物资储备支出</t>
  </si>
  <si>
    <t>二十、灾害防治及应急管理支出</t>
  </si>
  <si>
    <t>二十一、预备费</t>
  </si>
  <si>
    <t>二十二、其他支出</t>
  </si>
  <si>
    <t>减少136</t>
  </si>
  <si>
    <t>二十三、债务付息支出</t>
  </si>
  <si>
    <t>二十四、上年结转</t>
  </si>
  <si>
    <t>一般公共财政支出合计</t>
  </si>
  <si>
    <t>转移性支出</t>
  </si>
  <si>
    <t xml:space="preserve">  上解上级支出</t>
  </si>
  <si>
    <t xml:space="preserve">      专项上解支出</t>
  </si>
  <si>
    <t xml:space="preserve"> 调出资金</t>
  </si>
  <si>
    <t xml:space="preserve"> 调出预算稳定调节基金</t>
  </si>
  <si>
    <t xml:space="preserve"> 债务还本支出</t>
  </si>
  <si>
    <t xml:space="preserve"> 援助其他地区支出</t>
  </si>
  <si>
    <t xml:space="preserve"> 年终结余</t>
  </si>
  <si>
    <t xml:space="preserve">    结转</t>
  </si>
  <si>
    <t>支出总计</t>
  </si>
  <si>
    <t>附件3</t>
  </si>
  <si>
    <t>环江毛南族自治县2022年财政收入计划明细表</t>
  </si>
  <si>
    <t xml:space="preserve">项     目 </t>
  </si>
  <si>
    <t>2021年完成数</t>
  </si>
  <si>
    <t>2022年预算数</t>
  </si>
  <si>
    <t>2022年预算数比
2021年完成数增减</t>
  </si>
  <si>
    <t>备注</t>
  </si>
  <si>
    <t xml:space="preserve">    （一）增值税</t>
  </si>
  <si>
    <t xml:space="preserve">           国有企业增值税</t>
  </si>
  <si>
    <t xml:space="preserve">           集体企业增值税</t>
  </si>
  <si>
    <t xml:space="preserve">           股份制企业增值税</t>
  </si>
  <si>
    <t xml:space="preserve">           外商投资企业增值税</t>
  </si>
  <si>
    <t xml:space="preserve">           私营企业增值税</t>
  </si>
  <si>
    <t xml:space="preserve">           其他增值税</t>
  </si>
  <si>
    <t xml:space="preserve">           增值税滞纳金、罚金</t>
  </si>
  <si>
    <t xml:space="preserve">           增值税退税</t>
  </si>
  <si>
    <t xml:space="preserve">           改征增值税</t>
  </si>
  <si>
    <t xml:space="preserve">    （二）消费税</t>
  </si>
  <si>
    <t xml:space="preserve">           一般营业税</t>
  </si>
  <si>
    <t xml:space="preserve">           营业税滞纳金、罚款收入</t>
  </si>
  <si>
    <t xml:space="preserve">    （三）企业所得税</t>
  </si>
  <si>
    <t xml:space="preserve">           国有电力工业所得税</t>
  </si>
  <si>
    <t xml:space="preserve">           其他国有企业所得税</t>
  </si>
  <si>
    <t xml:space="preserve">           集体企业所得税</t>
  </si>
  <si>
    <t xml:space="preserve">           股份制企业所得税</t>
  </si>
  <si>
    <t xml:space="preserve">           联营企业所得税</t>
  </si>
  <si>
    <t xml:space="preserve">        港澳台和外商投资企业所得税</t>
  </si>
  <si>
    <t xml:space="preserve">           私营企业所得税</t>
  </si>
  <si>
    <t xml:space="preserve">           其他企业所得税</t>
  </si>
  <si>
    <t xml:space="preserve">            企业所得税税款滞纳金、罚款、加收利息收入</t>
  </si>
  <si>
    <t xml:space="preserve">           所得税退税</t>
  </si>
  <si>
    <t xml:space="preserve">     (四)个人所得税</t>
  </si>
  <si>
    <t xml:space="preserve">    （五）资源税</t>
  </si>
  <si>
    <t xml:space="preserve">    （六）城市维护建设税</t>
  </si>
  <si>
    <t xml:space="preserve">    （七）房产税</t>
  </si>
  <si>
    <t xml:space="preserve">    （八）印花税</t>
  </si>
  <si>
    <t xml:space="preserve">    （九）城镇土地使用税</t>
  </si>
  <si>
    <t xml:space="preserve">    （十）土地增值税</t>
  </si>
  <si>
    <t xml:space="preserve">    （十一）车船税</t>
  </si>
  <si>
    <t xml:space="preserve">    （十二）耕地占用税</t>
  </si>
  <si>
    <t xml:space="preserve">    （十三）契税</t>
  </si>
  <si>
    <t xml:space="preserve">    （十四）环境保护税</t>
  </si>
  <si>
    <t xml:space="preserve">    （十五）其他税收收入</t>
  </si>
  <si>
    <t xml:space="preserve">  （一）专项收入</t>
  </si>
  <si>
    <t xml:space="preserve">        排污费收入</t>
  </si>
  <si>
    <t xml:space="preserve">        水资源费收入</t>
  </si>
  <si>
    <t xml:space="preserve">        教育费附加收入</t>
  </si>
  <si>
    <t xml:space="preserve">        探矿权、采矿权使用费及价款收入</t>
  </si>
  <si>
    <t xml:space="preserve">        地方教育附加收入</t>
  </si>
  <si>
    <t xml:space="preserve">        文化事业建设费收入</t>
  </si>
  <si>
    <t xml:space="preserve">        残疾人就业保障金收入</t>
  </si>
  <si>
    <t xml:space="preserve">        教育资金收入</t>
  </si>
  <si>
    <t xml:space="preserve">        农田水利建设资金收入</t>
  </si>
  <si>
    <t xml:space="preserve">        育林基金收入</t>
  </si>
  <si>
    <t xml:space="preserve">        森林植被恢复费</t>
  </si>
  <si>
    <t xml:space="preserve">        水利建设专项收入</t>
  </si>
  <si>
    <t xml:space="preserve">  （二）行政性收费收入</t>
  </si>
  <si>
    <t xml:space="preserve">       公安行政事业性收费收入</t>
  </si>
  <si>
    <t xml:space="preserve">       法院行政事业性收费收入</t>
  </si>
  <si>
    <t xml:space="preserve">       司法行政事业性收费收入</t>
  </si>
  <si>
    <t xml:space="preserve">       财政行政事业性收费收入</t>
  </si>
  <si>
    <t xml:space="preserve">       人口和计划生育行政事业性收费收入</t>
  </si>
  <si>
    <t xml:space="preserve">       人防办行政事业性收费收入</t>
  </si>
  <si>
    <t xml:space="preserve">      质量监督检验检疫行政事业性收费收入</t>
  </si>
  <si>
    <t xml:space="preserve">       教育行政事业性收费收入</t>
  </si>
  <si>
    <t xml:space="preserve">       国土资源行政事业性收费收入</t>
  </si>
  <si>
    <t xml:space="preserve">       建设行政事业性收费收入</t>
  </si>
  <si>
    <t xml:space="preserve">       环保行政事业性收费收入</t>
  </si>
  <si>
    <t xml:space="preserve">       交通运输行政事业性收费收入</t>
  </si>
  <si>
    <t xml:space="preserve">       农业行政事业性收费收入</t>
  </si>
  <si>
    <t xml:space="preserve">       林业行政事业性收费收入</t>
  </si>
  <si>
    <t xml:space="preserve">       水利行政事业性收费收入</t>
  </si>
  <si>
    <t xml:space="preserve">       卫生行政事业性收费收入</t>
  </si>
  <si>
    <t xml:space="preserve">       民政行政事业性收费收入</t>
  </si>
  <si>
    <t xml:space="preserve">       人力资源和社会保障行政事业性收费收入</t>
  </si>
  <si>
    <t xml:space="preserve">       水土保持补偿费收入</t>
  </si>
  <si>
    <t xml:space="preserve">       其他行政事业性收费收入</t>
  </si>
  <si>
    <t xml:space="preserve">  （三）罚没收入</t>
  </si>
  <si>
    <t xml:space="preserve">       公安罚没收入</t>
  </si>
  <si>
    <t xml:space="preserve">       检察院罚没收入</t>
  </si>
  <si>
    <t xml:space="preserve">       法院罚没收入</t>
  </si>
  <si>
    <t xml:space="preserve">       交通罚没收入</t>
  </si>
  <si>
    <t xml:space="preserve">       卫生部门罚没收入</t>
  </si>
  <si>
    <t xml:space="preserve">       工商罚没收入</t>
  </si>
  <si>
    <t xml:space="preserve">       税务部门罚没收入</t>
  </si>
  <si>
    <t xml:space="preserve">       技术监督罚没收入</t>
  </si>
  <si>
    <t xml:space="preserve">       其他罚没收入</t>
  </si>
  <si>
    <t xml:space="preserve"> （四）国有资本经营收入</t>
  </si>
  <si>
    <t xml:space="preserve">       股利、股息收入</t>
  </si>
  <si>
    <t xml:space="preserve">       产权转让收入</t>
  </si>
  <si>
    <t xml:space="preserve">       国有企业计划亏损补贴</t>
  </si>
  <si>
    <t>（五）国有资源（资产）有偿使用收入</t>
  </si>
  <si>
    <t>（六）捐赠收入</t>
  </si>
  <si>
    <t>（七）政府住房基金收入</t>
  </si>
  <si>
    <t>（八）其他收入</t>
  </si>
  <si>
    <t>公共财政预算收入合计</t>
  </si>
  <si>
    <t>上 划 中 央 两 税 收 入</t>
  </si>
  <si>
    <t xml:space="preserve">                 上划增值税</t>
  </si>
  <si>
    <t xml:space="preserve">                 上划消费税</t>
  </si>
  <si>
    <t>上划中央所得税</t>
  </si>
  <si>
    <t>企业所得税</t>
  </si>
  <si>
    <t>个人所得税</t>
  </si>
  <si>
    <t>上划中央营业税</t>
  </si>
  <si>
    <t>上划自治区收入合计</t>
  </si>
  <si>
    <t xml:space="preserve">        一、上划自治区增值税收入</t>
  </si>
  <si>
    <t xml:space="preserve">        二、上划自治区营业税收入</t>
  </si>
  <si>
    <t xml:space="preserve">        三、上划自治区企业所得税收入</t>
  </si>
  <si>
    <t xml:space="preserve">        四、上划自治区个人所得税收入</t>
  </si>
  <si>
    <t xml:space="preserve">        五、上划环境保护税</t>
  </si>
  <si>
    <t>财 政 收 入 合 计</t>
  </si>
  <si>
    <t>按部门分：</t>
  </si>
  <si>
    <t>税务</t>
  </si>
  <si>
    <t>财政</t>
  </si>
  <si>
    <r>
      <rPr>
        <sz val="12"/>
        <rFont val="黑体"/>
        <charset val="134"/>
      </rPr>
      <t>附件</t>
    </r>
    <r>
      <rPr>
        <sz val="11"/>
        <rFont val="Calibri"/>
        <charset val="134"/>
      </rPr>
      <t>4</t>
    </r>
  </si>
  <si>
    <t>环江毛南族自治县2022年一般公共预算支出明细表</t>
  </si>
  <si>
    <t>科目编码</t>
  </si>
  <si>
    <t>科目名称</t>
  </si>
  <si>
    <t>基本支出</t>
  </si>
  <si>
    <t>项目支出</t>
  </si>
  <si>
    <t>小计</t>
  </si>
  <si>
    <t>工资福利支出</t>
  </si>
  <si>
    <t>商品服务支出</t>
  </si>
  <si>
    <t>对个人和家庭补助支出</t>
  </si>
  <si>
    <t>县级财力安排</t>
  </si>
  <si>
    <t>上年结转支出</t>
  </si>
  <si>
    <t>上级转移支付支出</t>
  </si>
  <si>
    <t>**</t>
  </si>
  <si>
    <t>201</t>
  </si>
  <si>
    <t>一般公共服务支出</t>
  </si>
  <si>
    <t>20101</t>
  </si>
  <si>
    <t>人大事务</t>
  </si>
  <si>
    <t>2010101</t>
  </si>
  <si>
    <t>行政运行</t>
  </si>
  <si>
    <t>人大</t>
  </si>
  <si>
    <t>1.办公设备购置6.4万元2.2022年党支部组织生活经费0.42万元3.六委一中心工作业务经费12.0万元4.2022年 人大办业务经费40.0万元</t>
  </si>
  <si>
    <t>2010104</t>
  </si>
  <si>
    <t>人大会议</t>
  </si>
  <si>
    <t>1.2022年乡镇人民代表大会会议经费28.58万元2.2022年自治县人民代表大会会议经费28.0万元</t>
  </si>
  <si>
    <t>2010105</t>
  </si>
  <si>
    <t>人大立法</t>
  </si>
  <si>
    <t>1.2022年立法专项经费32.0万元2.普法宣传经费1.6万元</t>
  </si>
  <si>
    <t>2010106</t>
  </si>
  <si>
    <t>人大监督</t>
  </si>
  <si>
    <t xml:space="preserve">1.2022年执法检查经费2.4万元2.专题调研视察工作经费14.4万元</t>
  </si>
  <si>
    <t>2010107</t>
  </si>
  <si>
    <t>人大代表履职能力提升</t>
  </si>
  <si>
    <t>1.县级人大代表小组活动经费9.6万元2.2022年乡镇人大代表小组活动经费11.84万元3.2022年乡镇人大代表履职活动经费63.52万元4.县级人大代表履职培训经费18.16万元</t>
  </si>
  <si>
    <t>2010108</t>
  </si>
  <si>
    <t>代表工作</t>
  </si>
  <si>
    <t>1.人大工作“环江品牌”创建经费20.0万元2.县级人大代表补选经费2.4万元3.县级人大代表履职活动经费36.32万元4.2022年人大代表联络站运行经费16.96万元</t>
  </si>
  <si>
    <t>2010109</t>
  </si>
  <si>
    <t>人大信访工作</t>
  </si>
  <si>
    <t xml:space="preserve">1.人大信访工作经费2.4万元</t>
  </si>
  <si>
    <t>2010199</t>
  </si>
  <si>
    <t>其他人大事务支出</t>
  </si>
  <si>
    <t xml:space="preserve">1.全国少数民族自治县人大工作联席会议经费4.0万元2.2022年人大代表议案建议办理专项经费2,00.0万元</t>
  </si>
  <si>
    <t>20102</t>
  </si>
  <si>
    <t>政协事务</t>
  </si>
  <si>
    <t>2010201</t>
  </si>
  <si>
    <t>政协</t>
  </si>
  <si>
    <t xml:space="preserve">1.政协办业务经费8.0万元2.党支部组织生活经费0.26万元</t>
  </si>
  <si>
    <t>2010203</t>
  </si>
  <si>
    <t>机关服务</t>
  </si>
  <si>
    <t xml:space="preserve">1.政协机关业务费10.05万元</t>
  </si>
  <si>
    <t>2010205</t>
  </si>
  <si>
    <t>委员视察</t>
  </si>
  <si>
    <t>1.政协委员活动经费35.2万元</t>
  </si>
  <si>
    <t>2010206</t>
  </si>
  <si>
    <t>参政议政</t>
  </si>
  <si>
    <t>1.政协业务经费49.67万元</t>
  </si>
  <si>
    <t>2010299</t>
  </si>
  <si>
    <t>其他政协事务支出</t>
  </si>
  <si>
    <t>1.政协会议经费20.0万元</t>
  </si>
  <si>
    <t>20103</t>
  </si>
  <si>
    <t>政府办公厅（室）及相关机构事务</t>
  </si>
  <si>
    <t>2010301</t>
  </si>
  <si>
    <t>政府办</t>
  </si>
  <si>
    <t>1.政府系统业务培训经费3.08万元2.政府网络业务经费12.0万元3.政府机要信息业务经费5.2万元4.政府法律顾问服务工作 经费30.0万元5.政府办业务经费6.0万元6.办公业务经费49.8万元7.招商引资前期经费17.18万元8.政务OA系统建设经费50.28万元9.党支部组织生活经费0.26万元</t>
  </si>
  <si>
    <t>党史研究室</t>
  </si>
  <si>
    <t xml:space="preserve">1.《环江改革开放口述资料》征编工作2.0万元2.环江革命陈列馆修复和文物征集0.48万元3.卢寿将军故居修建前期工作经费1.79万元4.党支部组织生活经费0.11万元5.环江革命遗址遗迹调研1.6万元6.党史宣传工作经费1.5万元7.《覃展传》资料征集和编写工作经费1.5万元</t>
  </si>
  <si>
    <t>编办</t>
  </si>
  <si>
    <t xml:space="preserve">1.机构编制业务费3.2万元2.绩效考评工作经费5.01万元3.办公设备购买费2.4万元4.党支部组织生活活动费0.15万元5.日常业务工作经费4.22万元6.事业单位登记管理业务费1.6万元</t>
  </si>
  <si>
    <t>房改办</t>
  </si>
  <si>
    <t xml:space="preserve">1.房改业务经费4.0万元2.党支部组织生活经费0.03万元3.保障性安居工程业务经费1.4万元</t>
  </si>
  <si>
    <t>县志办</t>
  </si>
  <si>
    <t xml:space="preserve">1.办公费3.2万元2.地方志资料年报收集工作1.48万元</t>
  </si>
  <si>
    <t>机关事务服务中心</t>
  </si>
  <si>
    <t>大数据发展局</t>
  </si>
  <si>
    <t xml:space="preserve">1.电子政务外网主(备)用线路电信服务费、维护费及机房维护费1,08.67万元2.电脑耗材经费1.92万元3.办公费用5.01万元4.县乡村三级培训经费0.5万元5.环江县人民政府网站维护费3.2万元6.党支部组织生活费0.1万元7.政务服务中心保用品洁0.4万元8.拨环江县行政审批制度改革和“放管服”改革专项经费1.28万元9.村级政务中心网络费9.22万元10.保安保洁电工劳务费6.5万元11.水费0.7万元12.大数据局电话及网络费1.86万元13.电费2.24万元</t>
  </si>
  <si>
    <t>外事务办公室</t>
  </si>
  <si>
    <t xml:space="preserve">1.外事工作经费1.17万元2.接待办工作经费1.73万元</t>
  </si>
  <si>
    <t>信访局</t>
  </si>
  <si>
    <t>公共资源交易中心</t>
  </si>
  <si>
    <t xml:space="preserve">1.电费1.6万元2.电脑耗材费1.2万元3.电子招投标平台维修（护）费1.6万元4.办公费6.0万元5.电子招投标系统网络专线及电话费2.4万元</t>
  </si>
  <si>
    <t>人社系统</t>
  </si>
  <si>
    <t>乡镇政府</t>
  </si>
  <si>
    <t>思恩36.9万元，大才38.7万元，水源40.95万元，洛阳镇45.02万元，川山40.95万元，下南40.95万元，大安32.4万元，长美32.4万元，明伦41.04万元，东兴53.15万元，龙岩41.04万元 ，驯乐41.04万元。预留360万元</t>
  </si>
  <si>
    <t>2010303</t>
  </si>
  <si>
    <t xml:space="preserve">1.被装购置费2.0万元2.公车平台司机差旅费40.0万元3.公务车辆管理平台建设费14.36万元4.公务车辆监控系统网络费3.0万元5.交流挂职领导基本生活用具购置费4.0万元6.行政会议中心日常用品购置费4.0万元7.县府大院绿化美化费4.0万元8.机关公共机构节能经费4.0万元9.党组织生活经费0.21万元10.大院日常维修维护费20.0万元11.大院零星费用5.0万元12.新能源汽车租赁费9.6万元13.县政府大院日常保洁服务费18.0万元14.水电费13.9万元15.保安人员服务费21.84万元16.保卫、会议中心聘用人员加班费3.02万元</t>
  </si>
  <si>
    <t>2010305</t>
  </si>
  <si>
    <t>专项业务及机关事务管理</t>
  </si>
  <si>
    <t xml:space="preserve">1.购置工具书及全国史志类地情资料书2.24万元</t>
  </si>
  <si>
    <t>2010308</t>
  </si>
  <si>
    <t>信访事务</t>
  </si>
  <si>
    <t xml:space="preserve">1.宣传费0.65万元2.通讯网络费,办公费用1.97万元3.水、电费0.86万元4.接访、劝返经费，会议费6.39万元5.党支部组织生活经费0.07万元6.北京、南宁值班费，会议费14.8万元</t>
  </si>
  <si>
    <t>2010350</t>
  </si>
  <si>
    <t>事业运行</t>
  </si>
  <si>
    <t>人武部</t>
  </si>
  <si>
    <t xml:space="preserve">1.值勤补助3.17万元2.党支部组织生活经费0.11万元</t>
  </si>
  <si>
    <t>2010399</t>
  </si>
  <si>
    <t>其他政府办公厅（室）及相关机构事务支出</t>
  </si>
  <si>
    <t xml:space="preserve">1.政务和公益中文域名注册及运行费2.88万元</t>
  </si>
  <si>
    <t>工业园区</t>
  </si>
  <si>
    <t xml:space="preserve">1.河刚留守处各项经费30.0万元2.园区工会业务工作补助经费3.0万元3.安全生产工作经费8.0万元4.环境保护工作经费8.0万元5.园区财政业务工作经费24.0万元6.维稳、处纠业务工作经费5.0万元7.服务企业综合业务工作经费5.0万元8.园区征地工作组业务工作经费5.0万元9.园区国土规划建设业务工作经费15.0万元10.招商工作接待费12.0万元11.招商项目考察对接工作费用15.0万元12.招商前期业务工作经费10.0万元13.干部培训费3.0万元14.党支部组织生活经费0.5万元15.办公设备购置费18.0万元16.园区党建业务工作经费5.0万元17.联系村工作经费10.0万元18.聘请服务费用9.5万元19.综合业务工作费用15.0万元</t>
  </si>
  <si>
    <t>20104</t>
  </si>
  <si>
    <t>发展与改革事务</t>
  </si>
  <si>
    <t>2010401</t>
  </si>
  <si>
    <t>发改局</t>
  </si>
  <si>
    <t>2010402</t>
  </si>
  <si>
    <t>一般行政管理事务</t>
  </si>
  <si>
    <t xml:space="preserve">1.优化营商环境工作经费2.43万元2.业务工作经费33.5万元</t>
  </si>
  <si>
    <t>2010408</t>
  </si>
  <si>
    <t>物价管理</t>
  </si>
  <si>
    <t xml:space="preserve">1.政府定价成本监审费3.2万元2.价格专项检查费0.96万元</t>
  </si>
  <si>
    <t>2010450</t>
  </si>
  <si>
    <t>2010499</t>
  </si>
  <si>
    <t>其他发展与改革事务支出</t>
  </si>
  <si>
    <t xml:space="preserve">1.工程项目监理、规划设计编审、项目勘察及项目竣工验收经费16.0万元2.党组织活动经费0.62万元</t>
  </si>
  <si>
    <t>20105</t>
  </si>
  <si>
    <t>统计信息事务</t>
  </si>
  <si>
    <t>2010501</t>
  </si>
  <si>
    <t>统计局</t>
  </si>
  <si>
    <t>2010505</t>
  </si>
  <si>
    <t>专项统计业务</t>
  </si>
  <si>
    <t xml:space="preserve">1.正常统计业务10.07万元</t>
  </si>
  <si>
    <t>2010508</t>
  </si>
  <si>
    <t>统计抽样调查</t>
  </si>
  <si>
    <t>1.统计抽样调查6.4万元；2.国家统计局环江调查队工作经费30.78万元。</t>
  </si>
  <si>
    <t>2010599</t>
  </si>
  <si>
    <t>其他统计信息事务支出</t>
  </si>
  <si>
    <t xml:space="preserve">1.村级统计员补贴26.46万元2.“四上”企业扶持奖励10.24万元3.聘用县级统计管理员(协统员)44.0万元4.党支部组织活动经费0.5万元</t>
  </si>
  <si>
    <t>20106</t>
  </si>
  <si>
    <t>财政事务</t>
  </si>
  <si>
    <t>2010601</t>
  </si>
  <si>
    <t>财政局</t>
  </si>
  <si>
    <t>乡镇财政所</t>
  </si>
  <si>
    <t>2010604</t>
  </si>
  <si>
    <t>预算改革业务</t>
  </si>
  <si>
    <t xml:space="preserve">1.预算改革业务费10.8万元</t>
  </si>
  <si>
    <t>2010605</t>
  </si>
  <si>
    <t>财政国库业务</t>
  </si>
  <si>
    <t xml:space="preserve">1.财政国库业务费36.0万元</t>
  </si>
  <si>
    <t>2010606</t>
  </si>
  <si>
    <t>财政监察</t>
  </si>
  <si>
    <t xml:space="preserve">1.财政监察5.2万元</t>
  </si>
  <si>
    <t>2010608</t>
  </si>
  <si>
    <t>财政委托业务支出</t>
  </si>
  <si>
    <t xml:space="preserve">1.财政委托业务支出1,70.57万元</t>
  </si>
  <si>
    <t>2010699</t>
  </si>
  <si>
    <t>其他财政事务支出</t>
  </si>
  <si>
    <t xml:space="preserve">1.办公楼(室)修缮费25.0万元2.会计管理业务费25.2万元3.金财专线网络通讯费36.54万元4.党支部组织生活经费0.6万元5.机关日常业务费82.13万元6.办公设备(家具)购置费20.0万元7.国有资产管理业务费12.0万元8.内控制度改革业务10.8万元</t>
  </si>
  <si>
    <t>20108</t>
  </si>
  <si>
    <t>审计事务</t>
  </si>
  <si>
    <t>2010801</t>
  </si>
  <si>
    <t>审计局</t>
  </si>
  <si>
    <t>2010804</t>
  </si>
  <si>
    <t>审计业务</t>
  </si>
  <si>
    <t xml:space="preserve">1.审计业务-委托审计费71.39万元2.审计业务费12.8万元</t>
  </si>
  <si>
    <t>2010805</t>
  </si>
  <si>
    <t>审计管理</t>
  </si>
  <si>
    <t xml:space="preserve">1.审计管理费6.4万元</t>
  </si>
  <si>
    <t>2010806</t>
  </si>
  <si>
    <t>信息化建设</t>
  </si>
  <si>
    <t xml:space="preserve">1.信息化建设16.0万元</t>
  </si>
  <si>
    <t>2010850</t>
  </si>
  <si>
    <t xml:space="preserve">1.事业运行4.8万元</t>
  </si>
  <si>
    <t>2010899</t>
  </si>
  <si>
    <t>其他审计事务支出</t>
  </si>
  <si>
    <t xml:space="preserve">1.其他审计事务支出（党支部费用）0.14万元2.其他审计事务支出（政府中心工作）2.9万元</t>
  </si>
  <si>
    <t>20111</t>
  </si>
  <si>
    <t>纪检监察事务</t>
  </si>
  <si>
    <t>2011101</t>
  </si>
  <si>
    <t>纪委</t>
  </si>
  <si>
    <t xml:space="preserve">1.党组活动经费0.8万元2.网站维护费5.0万元3.纪委业务费30.6万元4.办案业务经费34.0万元</t>
  </si>
  <si>
    <t>2011105</t>
  </si>
  <si>
    <t>派驻派出机构</t>
  </si>
  <si>
    <t xml:space="preserve">1.派驻机构纪检专项工作经费5.0万元</t>
  </si>
  <si>
    <t>2011106</t>
  </si>
  <si>
    <t>巡视工作</t>
  </si>
  <si>
    <t xml:space="preserve">1.县委巡察办工作经费19.0万元</t>
  </si>
  <si>
    <t>2011199</t>
  </si>
  <si>
    <t>其他纪检监察事务支出</t>
  </si>
  <si>
    <t xml:space="preserve">1.河池市反腐倡廉教育中心运营费20.0万元2.租用企业教育基地租金1,00.0万元</t>
  </si>
  <si>
    <t>20113</t>
  </si>
  <si>
    <t>商贸事务</t>
  </si>
  <si>
    <t>2011301</t>
  </si>
  <si>
    <t>工信和商务局</t>
  </si>
  <si>
    <t xml:space="preserve">1.派驻县(区)工业振兴特派员工作经费30.0万元2.环江县改制企业留守人员工资19.92万元3.电子商务进农村综合示范项目工作经费2.4万元4.商务项目业务工作经费6.4万元5.铜鼓山歌艺术节0.96万元6.网络安全监察管理4.8万元7.党支部组织生活经费3.2万元8.全县企业经济统计年报会0.96万元9.维稳工作经费12.0万元10.企业改制经费7.2万元11.节能监察中心4.0万元</t>
  </si>
  <si>
    <t>2011308</t>
  </si>
  <si>
    <t>招商引资</t>
  </si>
  <si>
    <t>投资和促进局</t>
  </si>
  <si>
    <t xml:space="preserve">1.综合业务工作经费4.19万元2.东盟博览会参会经费6.4万元3.招商工作经费14.8万元4.党支部组织生活费0.08万元5.保安服务费2.4万元6.办公设备购置3.4万元7.招商宣传册工作经费5.04万元8.项目策划包装费8.0万元</t>
  </si>
  <si>
    <t>2011399</t>
  </si>
  <si>
    <t>其他商贸事务支出</t>
  </si>
  <si>
    <t xml:space="preserve">1.深圳文博会28.8万元</t>
  </si>
  <si>
    <t>20123</t>
  </si>
  <si>
    <t>民族事务</t>
  </si>
  <si>
    <t>2012301</t>
  </si>
  <si>
    <t>民宗局</t>
  </si>
  <si>
    <t xml:space="preserve">1.民族宗教信息员工作补助经费17.4万元2.党支部组织生活经费0.11万元3.民族宗教工作经费9.54万元4.少数民族发展资金项目工作经费2.68万元</t>
  </si>
  <si>
    <t>2012350</t>
  </si>
  <si>
    <t>语言文字研究中心</t>
  </si>
  <si>
    <t xml:space="preserve">1.民族语言文字工作经费2.7万元</t>
  </si>
  <si>
    <t>2012399</t>
  </si>
  <si>
    <t>其他民族事务支出</t>
  </si>
  <si>
    <t xml:space="preserve">1.民族技艺经费、农民丰收节活动经费5.0万元</t>
  </si>
  <si>
    <t>20125</t>
  </si>
  <si>
    <t>港澳台事务</t>
  </si>
  <si>
    <t>2012501</t>
  </si>
  <si>
    <t>统战部</t>
  </si>
  <si>
    <t xml:space="preserve">1.侨办经费1.44万元2.侨联经费1.44万元</t>
  </si>
  <si>
    <t>2012505</t>
  </si>
  <si>
    <t>台湾事务</t>
  </si>
  <si>
    <t xml:space="preserve">1.台湾事务经费1.44万元</t>
  </si>
  <si>
    <t>20126</t>
  </si>
  <si>
    <t>档案事务</t>
  </si>
  <si>
    <t>2012601</t>
  </si>
  <si>
    <t>档案馆</t>
  </si>
  <si>
    <t>2012604</t>
  </si>
  <si>
    <t xml:space="preserve">1.档案安全保管保护设施设备运行维护费3.0万元2.档案馆电费3.0万元3.档案数字化建设经费12.0万元4.档案馆业务建设经费8.0万元</t>
  </si>
  <si>
    <t>20128</t>
  </si>
  <si>
    <t>民主党派及工商联事务</t>
  </si>
  <si>
    <t>2012801</t>
  </si>
  <si>
    <t>工商联</t>
  </si>
  <si>
    <t xml:space="preserve">1.乡镇商会建设2.0万元2.工商联机关参政议政调研费2.0万元3.五好工商联建设2.0万元4.党支部组织生活经费0.03万元5.工商联商务活动费1.98万元</t>
  </si>
  <si>
    <t>20129</t>
  </si>
  <si>
    <t>群众团体事务</t>
  </si>
  <si>
    <t>2012901</t>
  </si>
  <si>
    <t>团委</t>
  </si>
  <si>
    <t xml:space="preserve">1.办公经费1.76万元</t>
  </si>
  <si>
    <t>妇联</t>
  </si>
  <si>
    <t xml:space="preserve">1.全县农村妇女 “领头雁”专项培训班经费5.0万元2.妇女儿童事业发展专项经费12.0万元3.党支部活动经费0.05万元4.“三八”节活动经费8.0万元5.妇女儿童之家运行维护费3.0万元6.两纲工作经费3.0万元7.妇儿工委办公经费2.8万元8.“六一”节活动经费5.0万元</t>
  </si>
  <si>
    <t>2012999</t>
  </si>
  <si>
    <t>其他群众团体事务支出</t>
  </si>
  <si>
    <t>工会经费1377.55万元</t>
  </si>
  <si>
    <t xml:space="preserve">1.基层党组织活动经费0.04万元2.西部志愿者住房补贴3.95万元3.西部志愿者生活交通补贴34.8万元4.西部计划自治县项目办日常工作经费2.5万元5.纪念建团100周年工作经费0.5万元6.预防青少年违法犯罪工作经费5.0万元</t>
  </si>
  <si>
    <t>县委办</t>
  </si>
  <si>
    <t>组织部</t>
  </si>
  <si>
    <t>政法委</t>
  </si>
  <si>
    <t>公安局</t>
  </si>
  <si>
    <t>检察院</t>
  </si>
  <si>
    <t>法院</t>
  </si>
  <si>
    <t>司法局</t>
  </si>
  <si>
    <t>中国共产党环江毛南族自治县委员会党史研究室</t>
  </si>
  <si>
    <t>环江毛南族自治县住房制度改革委员会办公室</t>
  </si>
  <si>
    <t>环江毛南族自治县机关事务服务中心</t>
  </si>
  <si>
    <t>环江毛南族自治县二轻城镇集体工业联合社</t>
  </si>
  <si>
    <t>环江毛南族自治县大数据发展局</t>
  </si>
  <si>
    <t>外事办</t>
  </si>
  <si>
    <t>市场监督管理局</t>
  </si>
  <si>
    <t>交警队</t>
  </si>
  <si>
    <t>环江毛南族自治县公共资源交易中心</t>
  </si>
  <si>
    <t>世遗中心</t>
  </si>
  <si>
    <t>教育局</t>
  </si>
  <si>
    <t>文广体旅局</t>
  </si>
  <si>
    <t>科协</t>
  </si>
  <si>
    <t>融媒体中心</t>
  </si>
  <si>
    <t>党校</t>
  </si>
  <si>
    <t>地震中心</t>
  </si>
  <si>
    <t>社科联</t>
  </si>
  <si>
    <t>文联</t>
  </si>
  <si>
    <t>宣传部</t>
  </si>
  <si>
    <t>建设局</t>
  </si>
  <si>
    <t>房管所</t>
  </si>
  <si>
    <t>环卫站</t>
  </si>
  <si>
    <t>河池市环江生态环境局</t>
  </si>
  <si>
    <t>自然资源局</t>
  </si>
  <si>
    <t>交通局</t>
  </si>
  <si>
    <t>城市管理执法局</t>
  </si>
  <si>
    <t>应急局</t>
  </si>
  <si>
    <t>民政局</t>
  </si>
  <si>
    <t>卫健局</t>
  </si>
  <si>
    <t>人社局</t>
  </si>
  <si>
    <t>残联</t>
  </si>
  <si>
    <t>退役军人局</t>
  </si>
  <si>
    <t>医保局</t>
  </si>
  <si>
    <t>农业农村局</t>
  </si>
  <si>
    <t>林业局</t>
  </si>
  <si>
    <t>水利局</t>
  </si>
  <si>
    <t>农经中心</t>
  </si>
  <si>
    <t>水果中心</t>
  </si>
  <si>
    <t>农机站</t>
  </si>
  <si>
    <t>糖业中心</t>
  </si>
  <si>
    <t>遥感监测站</t>
  </si>
  <si>
    <t>乡村振兴局</t>
  </si>
  <si>
    <t>水库和扶贫易地安置中心</t>
  </si>
  <si>
    <t>爱山林场</t>
  </si>
  <si>
    <t>华山林场</t>
  </si>
  <si>
    <t>红茂矿区管理处</t>
  </si>
  <si>
    <t>供销社</t>
  </si>
  <si>
    <t>环江毛南族自治县茧丝绸协调中心</t>
  </si>
  <si>
    <t>环江毛南族自治县思恩镇</t>
  </si>
  <si>
    <t>环江毛南族自治县大才乡</t>
  </si>
  <si>
    <t>环江毛南族自治县水源镇</t>
  </si>
  <si>
    <t>环江毛南族自治县洛阳镇</t>
  </si>
  <si>
    <t>环江毛南族自治县川山镇</t>
  </si>
  <si>
    <t>环江毛南族自治县下南乡</t>
  </si>
  <si>
    <t>环江毛南族自治县大安乡</t>
  </si>
  <si>
    <t>环江毛南族自治县长美乡</t>
  </si>
  <si>
    <t>环江毛南族自治县明伦镇</t>
  </si>
  <si>
    <t>环江毛南族自治县东兴镇</t>
  </si>
  <si>
    <t>环江毛南族自治县龙岩乡</t>
  </si>
  <si>
    <t>环江毛南族自治县驯乐苗族乡</t>
  </si>
  <si>
    <t>20131</t>
  </si>
  <si>
    <t>党委办公厅（室）及相关机构事务</t>
  </si>
  <si>
    <t>2013101</t>
  </si>
  <si>
    <t xml:space="preserve">1.中国共产党环江毛南族自治第八届代表大会会议经费11.52万元2.党委办公室业务费25.92万元3.党委办公通讯服务费3.46万元4.党委办公网络系统维护费12.24万元5.党委系统培训费5.76万元6.党委信息工作经费5.76万元7.党委政府中心工作经费5.76万元8.党支部组织生活经费0.4万元9.电子政务内网维护费8.35万元10.机要保密非涉密计算机终端泄密检查系统安装经费23.2万元11.县委报刊费2.88万元12.县委领导学习考察经费4.61万元13.县委办日常会议工作经费10.37万元14.县委督查工作经费9.1万元</t>
  </si>
  <si>
    <t xml:space="preserve">1.党支部组织生活经费0.05万元</t>
  </si>
  <si>
    <t>20132</t>
  </si>
  <si>
    <t>组织事务</t>
  </si>
  <si>
    <t>2013201</t>
  </si>
  <si>
    <t xml:space="preserve">1.引进人才生活补贴1,52.4万元2.乡镇、县直单位领导班子和领导干部考察工作经费4.0万元3.乡镇党代会年会工作经费16.86万元4.一报告两评议工作经费1.73万元5.全县关爱党员活动经费10.24万元6.乡村振兴工作经费4.01万元7.基层组织建设经费3.68万元8.组织工作经费6.4万元</t>
  </si>
  <si>
    <t>2013202</t>
  </si>
  <si>
    <t xml:space="preserve">1.老年活动中心工作经费2.3万元2.老干部管理工作经费8.0万元3.党支部组织生活费0.5万元4.大组工网运行维护经费2.99万元5.党员干部现代远程教育工作经费8.0万元</t>
  </si>
  <si>
    <t>2013203</t>
  </si>
  <si>
    <t xml:space="preserve">1.自治县党政领导班子和领导干部经济社会发展实绩考核工作经费0.58万元</t>
  </si>
  <si>
    <t>壮美广西党建云经费37.38万元</t>
  </si>
  <si>
    <t>2013204</t>
  </si>
  <si>
    <t>公务员事务</t>
  </si>
  <si>
    <t xml:space="preserve">1.人才工作经费4.0万元2.新公务员面试及初任培训工作经费12.67万元</t>
  </si>
  <si>
    <t>2013299</t>
  </si>
  <si>
    <t>其他组织事务支出</t>
  </si>
  <si>
    <t xml:space="preserve">1.关工委工作经费8.0万元2.征兵工作经费1.28万元3.非公党工委工作经费2.59万元4.环江毛南族自治县驻村工作队经费5,32.32万元5.老年大学工作经费1.6万元6.全区三级组织部信息化重点工作统筹项目经费5.18万元7.拨付离退休干部党支部书记及委员工作补助经费4.68万元</t>
  </si>
  <si>
    <t>20133</t>
  </si>
  <si>
    <t>宣传事务</t>
  </si>
  <si>
    <t>2013301</t>
  </si>
  <si>
    <t xml:space="preserve">1.2021年社科联工作经费4.6万元2.《环江社会科学》4.4万元</t>
  </si>
  <si>
    <t xml:space="preserve">1.《民族文学》征订款4.9万元2.《环江文艺》经费5.1万元</t>
  </si>
  <si>
    <t xml:space="preserve">1.精神文明创建工作经费0.95万元2.重大主题宣传经费5.0万元3.社会氛围宣传营造工作经费5.0万元4.全县宣传思想工作经费3.0万元5.理论骨干及通讯员培训费用5.0万元6.“扫黄打非”、新闻出版经费5.0万元7.宣传业务经费13.0万元</t>
  </si>
  <si>
    <t>2013399</t>
  </si>
  <si>
    <t>其他宣传事务支出</t>
  </si>
  <si>
    <t xml:space="preserve">1.全县党报党刊征订费用3,20.0万元2.意识形态责任落实工作经费5.0万元3.新时代文明实践工作及少年宫运转经费15.0万元4.农村电影公益放映配套补助资金7.0万元5.县委理论中心组学习费用1.91万元6.网络管理工作费用4.98万元7.戏曲进校园、戏曲进乡村2.0万元8.媒体合作经费1,50.0万元9.培育和践行社会主义核心价值观5.0万元10.国防教育经费1.0万元11.全县未成年人思想道德建设工作经费5.0万元12.党报党刊征订费用3.0万元13.党支部组织生活人员经费0.16万元</t>
  </si>
  <si>
    <t xml:space="preserve">1.燃气行政执法整治工作经费3.4万元</t>
  </si>
  <si>
    <t>20134</t>
  </si>
  <si>
    <t>统战事务</t>
  </si>
  <si>
    <t>2013401</t>
  </si>
  <si>
    <t xml:space="preserve">1.党支部组织生活经费0.12万元2.统战会议费1.44万元3.统战业务培训费1.44万元4.统战事务专项工作经费3.31万元5.统战业务经费6.39万元</t>
  </si>
  <si>
    <t>2013404</t>
  </si>
  <si>
    <t>宗教事务</t>
  </si>
  <si>
    <t xml:space="preserve">1.民族宗教经费0.72万元</t>
  </si>
  <si>
    <t>2013499</t>
  </si>
  <si>
    <t>其他统战事务支出</t>
  </si>
  <si>
    <t xml:space="preserve">1.党外代表人士实践锻炼基地工作经费2.24万元2.非公办经费1.96万元</t>
  </si>
  <si>
    <t>20136</t>
  </si>
  <si>
    <t>其他共产党事务支出</t>
  </si>
  <si>
    <t>2013601</t>
  </si>
  <si>
    <t xml:space="preserve">1.2022年县、乡、村综治中心建设经费4.0万元2.2022年县、乡、村综治视联网线路服务费14.74万元3.国家安全人民防线经费2.0万元4.2022年驻京驻邕劝返维稳工作经费2.6万元5.2022年政法业务费8.0万元6.2022年法制宣传经费12.0万元7.2022年综治、维稳和反邪教经费18.54万元8.2022年党支部组织生活经费0.14万元9.2022年法学会经费0.8万元</t>
  </si>
  <si>
    <t>2013699</t>
  </si>
  <si>
    <t xml:space="preserve">1.2022年广西综治信息平台运维费用7.33万元2.2022年全县见义勇为工作经费0.8万元</t>
  </si>
  <si>
    <t>20138</t>
  </si>
  <si>
    <t>市场监督管理事务</t>
  </si>
  <si>
    <t>2013801</t>
  </si>
  <si>
    <t xml:space="preserve">1.全县食品药品安全村级协管员工资8.4万元</t>
  </si>
  <si>
    <t>2013802</t>
  </si>
  <si>
    <t xml:space="preserve">1.党组织生活经费0.5万元2.一般行政管理事务经费3.1万元</t>
  </si>
  <si>
    <t>2013804</t>
  </si>
  <si>
    <t>市场主体管理</t>
  </si>
  <si>
    <t xml:space="preserve">1.市场主体管理经费8.8万元</t>
  </si>
  <si>
    <t>2013805</t>
  </si>
  <si>
    <t>市场秩序执法</t>
  </si>
  <si>
    <t xml:space="preserve">1.市场秩序执法经费21.45万元</t>
  </si>
  <si>
    <t>2013808</t>
  </si>
  <si>
    <t xml:space="preserve">1.信息化建设经费3.0万元</t>
  </si>
  <si>
    <t>2013810</t>
  </si>
  <si>
    <t>质量基础</t>
  </si>
  <si>
    <t xml:space="preserve">1.质量基础经费17.38万元</t>
  </si>
  <si>
    <t>2013812</t>
  </si>
  <si>
    <t>药品事务</t>
  </si>
  <si>
    <t xml:space="preserve">1.药品事务经费1.8万元</t>
  </si>
  <si>
    <t>2013813</t>
  </si>
  <si>
    <t>医疗器械事务</t>
  </si>
  <si>
    <t xml:space="preserve">1.医疗器械事务经费1.9万元</t>
  </si>
  <si>
    <t>2013815</t>
  </si>
  <si>
    <t>质量安全监管</t>
  </si>
  <si>
    <t xml:space="preserve">1.质量安全监管经费3.5万元</t>
  </si>
  <si>
    <t>2013816</t>
  </si>
  <si>
    <t>食品安全监管</t>
  </si>
  <si>
    <t xml:space="preserve">1.食品安全监管经费11.95万元</t>
  </si>
  <si>
    <t>20199</t>
  </si>
  <si>
    <t>其他一般公共服务支出</t>
  </si>
  <si>
    <t>2019999</t>
  </si>
  <si>
    <t xml:space="preserve">1.四家班子公务接待费1,44.0万元</t>
  </si>
  <si>
    <t>203</t>
  </si>
  <si>
    <t>国防支出</t>
  </si>
  <si>
    <t>20306</t>
  </si>
  <si>
    <t>国防动员</t>
  </si>
  <si>
    <t>2030601</t>
  </si>
  <si>
    <t>兵役征集</t>
  </si>
  <si>
    <t xml:space="preserve">1.征兵工作经费9.0万元</t>
  </si>
  <si>
    <t>2030603</t>
  </si>
  <si>
    <t>人民防空</t>
  </si>
  <si>
    <t xml:space="preserve">1.2022年人口疏散地域建设4.0万元2.2022年人防组织指挥1.6万元3.2022年人防宣传教育3.2万元4.2022年人防“准军事化”建设1.6万元5.2022年人防行政执法工作经费6.4万元</t>
  </si>
  <si>
    <t>2030607</t>
  </si>
  <si>
    <t>民兵</t>
  </si>
  <si>
    <t xml:space="preserve">1.2021年议军会增加经费72.0万元2.民兵整组经费1.8万元3.民兵训练费8.1万元4.民兵武器仓库业务经费5.4万元5.服装费3.6万元6.常驻民兵应急分队经费51.84万元</t>
  </si>
  <si>
    <t>2030699</t>
  </si>
  <si>
    <t>其他国防动员支出</t>
  </si>
  <si>
    <t xml:space="preserve">1.国动委办公经费2.6万元</t>
  </si>
  <si>
    <t>20399</t>
  </si>
  <si>
    <t>其他国防支出</t>
  </si>
  <si>
    <t>2039999</t>
  </si>
  <si>
    <t xml:space="preserve">1.网络安全管理经费4.5万元2.日常业务费13.5万元</t>
  </si>
  <si>
    <t>204</t>
  </si>
  <si>
    <t>公共安全支出</t>
  </si>
  <si>
    <t>20401</t>
  </si>
  <si>
    <t>武装警察部队</t>
  </si>
  <si>
    <t>2040101</t>
  </si>
  <si>
    <t>武警中队</t>
  </si>
  <si>
    <t xml:space="preserve">1.地方保障经费25.89万元</t>
  </si>
  <si>
    <t>20402</t>
  </si>
  <si>
    <t>公安</t>
  </si>
  <si>
    <t>2040201</t>
  </si>
  <si>
    <t>1.党组织活动经费2.48万元2.民警法定工作日之外加班补贴2,07.89万元3.政府购买服务人员待遇支出11,34.0万元4.小天网租赁费11.12万元5.打拐专项经费7.2万元6.特警大队办公经费20.7万元7.巡防大队业务经费20.7万元8.教育训练专项经费6.3万元9.公安业务经费16.2万元10.民警人身伤害保险及体检经费8.75万元11.警犬训养经费4.5万元12.拘留所管理经费3.6万元13.天网一、二、三期租赁费2,18.67万元14.网络侦控专项经费6.3万元15.禁毒专项经费13.5万元16.防范打击和处理邪教犯罪专项经费8.1万元17.刑事侦查业务费49.5万元18.国内安全保卫专项经费8.1万元19.治安管理专项经费8.1万元20.一村一警务助理工作专项经费2,80.0万元</t>
  </si>
  <si>
    <t xml:space="preserve">1.人民警察法定工作日之外加班补贴20.45万元2.规范辅警管理保障辅警待遇3,15.0万元</t>
  </si>
  <si>
    <t>2040219</t>
  </si>
  <si>
    <t xml:space="preserve">1.金盾工程网络维护费4.5万元2.城西视频监控租赁费6.48万元3.公安信息三级网及数据电路租用费用9.95万元</t>
  </si>
  <si>
    <t>2040220</t>
  </si>
  <si>
    <t>执法办案</t>
  </si>
  <si>
    <t xml:space="preserve">1.县禁毒办工作经费28.0万元2.各乡镇社区戒毒、社区康复工作经费26.0万元3.DNA检测专项经费15.3万元4.反恐专项经费4.5万元</t>
  </si>
  <si>
    <t>2040299</t>
  </si>
  <si>
    <t>其他公安支出</t>
  </si>
  <si>
    <t xml:space="preserve">1.创建平安畅通县区经费45.88万元2.考试场租赁费10.0万元3.电子警察项目专线电路租赁费10.0万元4.全县交安联席会办公经费18.8万元5.党支部组织生活经费0.17万元6.电子警察抓拍维护费6.0万元7.科技强警经费30.0万元8.交通事故处理经费13.75万元9.违法车辆停车费5.4万元10.车管业务经费10.0万元</t>
  </si>
  <si>
    <t>20404</t>
  </si>
  <si>
    <t>检察</t>
  </si>
  <si>
    <t>2040401</t>
  </si>
  <si>
    <t xml:space="preserve">1.民警工作日之外加班补贴5.11万元2.聘用制书记员定额补助1,12.5万元3.干警人身意外险0.52万元</t>
  </si>
  <si>
    <t>2040402</t>
  </si>
  <si>
    <t xml:space="preserve">1.党支部活动经费0.36万元2.报刊费1.0万元</t>
  </si>
  <si>
    <t>2040410</t>
  </si>
  <si>
    <t>检察监督</t>
  </si>
  <si>
    <t xml:space="preserve">1.22年侦查监督业务经费8.0万元2.22年执行监督业务经费5.0万元3.22年控申业务经费6.0万元4.22年民事行政检察业务经费5.0万元5.22年公诉业务经费10.0万元</t>
  </si>
  <si>
    <t>2040499</t>
  </si>
  <si>
    <t>其他检察支出</t>
  </si>
  <si>
    <t xml:space="preserve">1.22年派驻纪检业务经费2.82万元2.22年乡镇检察室业务经费3.0万元3.22年其他检察业务经费10.0万元</t>
  </si>
  <si>
    <t>20405</t>
  </si>
  <si>
    <t>2040501</t>
  </si>
  <si>
    <t xml:space="preserve">1.司法警察法定工作日之外加班补贴6.82万元2.聘用人员经费2,70.0万元3.2022年多元化矛盾纠纷解决机制4.5万元4.创建“无诉村屯、社区”经费2.7万元5.2022年保密工作经费1.8万元6.档案管理工作经费1.8万元7.驻村法官经费4.5万元8.维护社会稳定经费3.5万元9.党支部组织生活会经费及退休干部党组书记工作补贴1.27万元</t>
  </si>
  <si>
    <t>2040504</t>
  </si>
  <si>
    <t>案件审判</t>
  </si>
  <si>
    <t xml:space="preserve">1.网上办案经费3.0万元2.案件审判经费12.5万元</t>
  </si>
  <si>
    <t>2040505</t>
  </si>
  <si>
    <t>案件执行</t>
  </si>
  <si>
    <t xml:space="preserve">1.案件执行经费13.2万元</t>
  </si>
  <si>
    <t>2040599</t>
  </si>
  <si>
    <t>其他法院支出</t>
  </si>
  <si>
    <t xml:space="preserve">1.纪委检查组办公室经费1.8万元2.基层法庭业务经费7.2万元3.人民陪审员经费20.0万元</t>
  </si>
  <si>
    <t>20406</t>
  </si>
  <si>
    <t>司法</t>
  </si>
  <si>
    <t>2040601</t>
  </si>
  <si>
    <t xml:space="preserve">1.公证处经费开支5.0万元2.公益性岗位工资15.4万元</t>
  </si>
  <si>
    <t>2040602</t>
  </si>
  <si>
    <t xml:space="preserve">1.人民调解员办案补贴经费3.0万元</t>
  </si>
  <si>
    <t>2040604</t>
  </si>
  <si>
    <t>基层司法业务</t>
  </si>
  <si>
    <t xml:space="preserve">1.行政复议经费1.0万元2.一村一法侓顾问工作经费20.0万元3.社区矫正人民调解安置帮教工作28.0万元</t>
  </si>
  <si>
    <t>2040605</t>
  </si>
  <si>
    <t>普法宣传</t>
  </si>
  <si>
    <t xml:space="preserve">1.“八五”规划法治宣传教育经费8.35万元2.普法依法治理工作业务支出5.0万元</t>
  </si>
  <si>
    <t>2040607</t>
  </si>
  <si>
    <t>公共法律服务</t>
  </si>
  <si>
    <t xml:space="preserve">1.法侓援助配套业务补助经费支出1.0万元</t>
  </si>
  <si>
    <t>2040699</t>
  </si>
  <si>
    <t>其他司法支出</t>
  </si>
  <si>
    <t xml:space="preserve">1.2022年司法救助经费9.0万元</t>
  </si>
  <si>
    <t xml:space="preserve">1.在职人员人身意外保险0.46万元2.党组织生活经费0.49万元</t>
  </si>
  <si>
    <t>20407</t>
  </si>
  <si>
    <t>监狱</t>
  </si>
  <si>
    <t>2040704</t>
  </si>
  <si>
    <t>罪犯生活及医疗卫生</t>
  </si>
  <si>
    <t>看守所</t>
  </si>
  <si>
    <t xml:space="preserve">1.犯人给养费1,74.0万元</t>
  </si>
  <si>
    <t>强制隔离戒毒</t>
  </si>
  <si>
    <t>所政设施建设</t>
  </si>
  <si>
    <t>205</t>
  </si>
  <si>
    <t>教育支出</t>
  </si>
  <si>
    <t>20501</t>
  </si>
  <si>
    <t>教育管理事务</t>
  </si>
  <si>
    <t>2050101</t>
  </si>
  <si>
    <t>2050199</t>
  </si>
  <si>
    <t>其他教育管理事务支出</t>
  </si>
  <si>
    <t>1.借调人员公务费2022年11.28万元2.学前教育中心业务费5.81万元3.青少年活动中心业务经费4.0万元4.全县教育工作会议经费5.0万元5.党政办业务经费20.42万元6.资助中心业务经费3.0万元7.电教站业务经费4.0万元8.教研室业务经费4.0万元9.德育室业务经费1.9万元10.语委办工作经费2.5万元11.安全办业务经费3.2万元12.绩效办工作经费1.1万元13.招生办业务经费2.0万元14.办公设备购置3.67万元15.人事股业务经费3.0万元16.督导室业务经费3.0万元17.基础教育股业务经费2.0万元18.计财股业务经费3.6万元19.成职教股业务经费2.0万元20.规划建设股业务经费4.2万元21.党委办业务经费10.6万元22.教育经费代管中心业务经费4.0万元</t>
  </si>
  <si>
    <t>20502</t>
  </si>
  <si>
    <t>普通教育</t>
  </si>
  <si>
    <t>2050201</t>
  </si>
  <si>
    <t>学前教育</t>
  </si>
  <si>
    <t>1.公办幼儿园生均公用经费补助2,40.15万元2.学前教育免保教费补助县级配套资金2,00.0万元</t>
  </si>
  <si>
    <t xml:space="preserve">1.环江县第一幼儿园2022年年初预算经费(教育保育费)1,59.6万元</t>
  </si>
  <si>
    <t xml:space="preserve">1.环江县第二幼儿园2022年年初预算经费(保育教育费)1,98.4万元</t>
  </si>
  <si>
    <t xml:space="preserve">1.环江县第三幼儿园2022年年初预算经费(保育教育费)1,12.0万元</t>
  </si>
  <si>
    <t xml:space="preserve">1.环江县第四幼儿园2022年年初经费预算(保育教育费)68.0万元</t>
  </si>
  <si>
    <t xml:space="preserve">1.环江县第五幼儿园2022年年初经费预算(保育教育费)1,89.44万元</t>
  </si>
  <si>
    <t xml:space="preserve">1.大才乡中心幼儿园2022年年初预算经费(保育教育费)67.9万元</t>
  </si>
  <si>
    <t xml:space="preserve">1.大安乡中心幼儿园2022年年初预算经费(保育教育费)90.0万元</t>
  </si>
  <si>
    <t xml:space="preserve">1.长美乡中心幼儿园2022年年初预算经费(保育教育费)51.0万元</t>
  </si>
  <si>
    <t xml:space="preserve">1.东兴镇中心幼儿园2022年年初预算(保育教育费)1,50.0万元</t>
  </si>
  <si>
    <t xml:space="preserve">1.龙岩乡中心幼儿园2022年年初预算经费(保育教育费)46.0万元</t>
  </si>
  <si>
    <t xml:space="preserve">1.明伦镇中心幼儿园2022年年初预算经费(保育教育费)1,04.0万元</t>
  </si>
  <si>
    <t xml:space="preserve">1.驯乐中心园2022年初预算经费(保育教育费)1,12.0万元</t>
  </si>
  <si>
    <t xml:space="preserve">1.下南中心幼儿园2022年初预算经费(保育教育费)1,00.0万元</t>
  </si>
  <si>
    <t xml:space="preserve">1.川山镇中心幼儿园2022年年初预算经费(保育教育费)2,50.0万元</t>
  </si>
  <si>
    <t xml:space="preserve">1.洛阳镇中心幼儿园2022年年初预算经费(保育教育费)1,76.19万元</t>
  </si>
  <si>
    <t xml:space="preserve">1.水源镇中心幼儿园2022年年初预算经费(保育教育费)1,87.6万元</t>
  </si>
  <si>
    <t>上级专款759.55万元</t>
  </si>
  <si>
    <t>2050202</t>
  </si>
  <si>
    <t>小学教育</t>
  </si>
  <si>
    <t>1.贫困寄宿生县级补助经费(小学)20.87万元</t>
  </si>
  <si>
    <t xml:space="preserve">1.环江县二小2022年年初预算经费(场地租金)1.12万元</t>
  </si>
  <si>
    <t xml:space="preserve">1.思恩镇中心小学2022年年初预算经费(行政办公务费)2.16万元2.思恩镇中心小学2022年年初预算经费(教育保育费)75.6万元3.思恩镇中心小学2022年年初预算经费(门面租金)11.64万元</t>
  </si>
  <si>
    <t xml:space="preserve">1.环江县第五小学2022年年初预算经费(场地租金)1.34万元</t>
  </si>
  <si>
    <t xml:space="preserve">1.大才乡中心小学2022年年初预算经费(行政办公务费)1.68万元</t>
  </si>
  <si>
    <t xml:space="preserve">1.大安乡中心小学2022年年初预算经费(行政办公务费)1.92万元</t>
  </si>
  <si>
    <t xml:space="preserve">1.长美学校2022年年初预算经费(行政办公务费)1.92万元</t>
  </si>
  <si>
    <t xml:space="preserve">1.东兴镇中心小学2022年年初预算经费(行政办公务费)2.16万元</t>
  </si>
  <si>
    <t xml:space="preserve">1.2022年年初预算经费(行政办公务费)1.92万元</t>
  </si>
  <si>
    <t xml:space="preserve">1.明伦镇中心小学2022年年初预算经费(行政办公务费)1.68万元2.明伦镇中心小学2022年年初预算经费(门面租金)4.0万元</t>
  </si>
  <si>
    <t xml:space="preserve">1.驯乐乡中心小学2022年年初预算经费(行政办公务费)1.92万元2.驯乐乡中心小学2022年年初预算经费(门面租金)16.8万元</t>
  </si>
  <si>
    <t xml:space="preserve">1.下南乡中心小学2022年年初预算经费(行政办公务费)1.44万元2.下南乡中心小学2022年年初预算经费(门面租金)4.0万元</t>
  </si>
  <si>
    <t xml:space="preserve">1.川山镇小学2022年年初预算经费(行政办公务费)2.16万元</t>
  </si>
  <si>
    <t xml:space="preserve">1.洛阳镇中心小学2022年年初预算经费(行政办公务费)2.4万元2.洛阳镇中心小学2022年年初预算经费(经销店租金)8.0万元</t>
  </si>
  <si>
    <t xml:space="preserve">1.水源镇中心小学2022年年初预算经费(行政办公务费)1.68万元2.水源镇中心小学2022年年初预算经费(门面租金)2.7万元</t>
  </si>
  <si>
    <t>2050203</t>
  </si>
  <si>
    <t>初中教育</t>
  </si>
  <si>
    <t>1.思源学校生活老师补助经费13.44万元2.贫困寄宿生县级补助经费(初中）81.01万元</t>
  </si>
  <si>
    <t xml:space="preserve">1.环江县一中2022年年初预算经费(门面租金)25.0万元2.环江县一中2022年年初预算经费(经销店管理费)75.0万元</t>
  </si>
  <si>
    <t xml:space="preserve">1.环江第二初级中学2022年年初预算经费(经销店门面租金)44.0万元</t>
  </si>
  <si>
    <t xml:space="preserve">1.环江县三中2022年年初预算经费(经销店租金)45.0万元</t>
  </si>
  <si>
    <t xml:space="preserve">1.环江县四中2022年年初预算经费(经销店租金)34.0万元</t>
  </si>
  <si>
    <t xml:space="preserve">1.大安乡中学2022年年初经费预算(经销店租金)13.0万元</t>
  </si>
  <si>
    <t xml:space="preserve">1.东兴镇初级中学2022年年初预算经费(门面租金)4.5万元2.东兴镇初级中学2022年年初预算经费(经销店租金)20.0万元</t>
  </si>
  <si>
    <t xml:space="preserve">1.明伦中学2022年年初预算经费(经销店租金)3.0万元</t>
  </si>
  <si>
    <t xml:space="preserve">1.驯乐乡中学2022年初预算经费(经销店租金)15.0万元</t>
  </si>
  <si>
    <t xml:space="preserve">1.下南乡初级中学2022年年初预算经费(门面租金)16.67万元</t>
  </si>
  <si>
    <t xml:space="preserve">1.川山镇初级中学2022年年初预算经费(小卖部租金)35.0万元</t>
  </si>
  <si>
    <t xml:space="preserve">1.洛阳镇中学2022年年初预算经费(经销店租金)30.0万元</t>
  </si>
  <si>
    <t xml:space="preserve">1.水源镇初级中学2022年年初预算经费(门面及小卖部租金)56.0万元</t>
  </si>
  <si>
    <t>2050204</t>
  </si>
  <si>
    <t>高中教育</t>
  </si>
  <si>
    <t>1.普通高中政府津贴90.0万元2.公办普通高中生均公用经费(原免四费补助经费)7,43.4万元3.普通高中教育国家助学金县级配套资金36.26万元</t>
  </si>
  <si>
    <t xml:space="preserve">1.环江县高中2022年年初预算经费(门面租金)97.0万元</t>
  </si>
  <si>
    <t xml:space="preserve">1.环江县二高2022年年初预算经费(门面、小卖部租金)1,20.0万元</t>
  </si>
  <si>
    <t>上级专款1248.61万元</t>
  </si>
  <si>
    <t>2050299</t>
  </si>
  <si>
    <t>其他普通教育支出</t>
  </si>
  <si>
    <t>1.乡村教师生活补助费2,00.0万元2.食堂钟点工工资1,90.31万元3.食堂钟点工及保安工伤、生育11.1万元4.全县中小学、幼儿园安全专项整治督查经费3.0万元5.民族班及壮文经费40.0万元6.学生公用经费县级配套资金1,84.05万元7.数字教育资源共建共享平台和课堂教学录播系统建设资金80.0万元8.中小学校舍维修县级配套资金30.0万元9.全县校舍保险经费25.0万元10.全县校长奖励性效工资50.0万元11.大学新生困难助学金8.0万元12.教师节表彰经费1,80.0万元13.六一儿童节活动经费2.0万元</t>
  </si>
  <si>
    <t>20503</t>
  </si>
  <si>
    <t>职业教育</t>
  </si>
  <si>
    <t>2050302</t>
  </si>
  <si>
    <t>中等职业教育</t>
  </si>
  <si>
    <t>1.中等职业学校生均公用经费49.1万元2.中等职业教育免学费补助和国家助学金县级配套资金7.33万元</t>
  </si>
  <si>
    <t>上级专款332.5万元</t>
  </si>
  <si>
    <t>高等教育</t>
  </si>
  <si>
    <t>上级专款21.16万元</t>
  </si>
  <si>
    <t>20507</t>
  </si>
  <si>
    <t>特殊教育</t>
  </si>
  <si>
    <t>2050701</t>
  </si>
  <si>
    <t>特殊学校教育</t>
  </si>
  <si>
    <t>20508</t>
  </si>
  <si>
    <t>进修及培训</t>
  </si>
  <si>
    <t>2050802</t>
  </si>
  <si>
    <t>干部教育</t>
  </si>
  <si>
    <t xml:space="preserve">1.党员组织经费0.11万元2.干部培训水电费0.15万元3.党校常规管理业务经费10.0万元</t>
  </si>
  <si>
    <t>干训费100万元</t>
  </si>
  <si>
    <t>20509</t>
  </si>
  <si>
    <t>教育费附加安排的支出</t>
  </si>
  <si>
    <t>2050999</t>
  </si>
  <si>
    <t>其他教育费附加安排的支出</t>
  </si>
  <si>
    <t>1.全县校园安全保卫经费8,45.68万元。2.上级专款10940.64万元</t>
  </si>
  <si>
    <t>206</t>
  </si>
  <si>
    <t>科学技术支出</t>
  </si>
  <si>
    <t>20604</t>
  </si>
  <si>
    <t>技术研究与开发</t>
  </si>
  <si>
    <t>2060499</t>
  </si>
  <si>
    <t>其他技术研究与开发支出</t>
  </si>
  <si>
    <t xml:space="preserve">1.科技三项费用2,40.0万元</t>
  </si>
  <si>
    <t>20607</t>
  </si>
  <si>
    <t>科学技术普及</t>
  </si>
  <si>
    <t>2060701</t>
  </si>
  <si>
    <t>机构运行</t>
  </si>
  <si>
    <t>2060702</t>
  </si>
  <si>
    <t>科普活动</t>
  </si>
  <si>
    <t xml:space="preserve">1.党组织活动经费0.06万元2.老科协科普活动4.0万元3.科普活动8.0万元</t>
  </si>
  <si>
    <t>207</t>
  </si>
  <si>
    <t>文化旅游体育与传媒支出</t>
  </si>
  <si>
    <t>20701</t>
  </si>
  <si>
    <t>文化和旅游</t>
  </si>
  <si>
    <t>2070101</t>
  </si>
  <si>
    <t xml:space="preserve">1.日常业务工作经费6.4万元</t>
  </si>
  <si>
    <t xml:space="preserve">1.文旅党支部组织生活经费0.46万元2.业务费30.0万元</t>
  </si>
  <si>
    <t>2070102</t>
  </si>
  <si>
    <t xml:space="preserve">1.县级旅游发展经费2,00.0万元</t>
  </si>
  <si>
    <t>2070104</t>
  </si>
  <si>
    <t>图书馆</t>
  </si>
  <si>
    <t xml:space="preserve">1.专项业务费1.8万元2.图书馆购置3.0万元3.免费开放县级配套资金2.0万元4.保安经费4.32万元5.电子阅览室经费1.0万元6.电梯维护费0.4万元</t>
  </si>
  <si>
    <t>2070107</t>
  </si>
  <si>
    <t>艺术表演团体</t>
  </si>
  <si>
    <t xml:space="preserve">1.演出经费5.0万元2.非物质文化遗产保护经费3.0万元</t>
  </si>
  <si>
    <t>2070108</t>
  </si>
  <si>
    <t>文化活动</t>
  </si>
  <si>
    <t xml:space="preserve">1.2022年文化活动经费10.0万元</t>
  </si>
  <si>
    <t>2070109</t>
  </si>
  <si>
    <t>群众文化</t>
  </si>
  <si>
    <t xml:space="preserve">1.环江壮族三月三活动经费5.0万元</t>
  </si>
  <si>
    <t xml:space="preserve">1.县级免费开放资金2.0万元2.业务经费5.4万元3.演出服装费4.4万元4.保安经费5.32万元</t>
  </si>
  <si>
    <t>乡镇文化站</t>
  </si>
  <si>
    <t>2070112</t>
  </si>
  <si>
    <t>文化和旅游市场管理</t>
  </si>
  <si>
    <t xml:space="preserve">1.文化市场管理费2.5万元</t>
  </si>
  <si>
    <t>2070199</t>
  </si>
  <si>
    <t>其他文化和旅游支出</t>
  </si>
  <si>
    <t xml:space="preserve">1.文化站免费开放县级配套经费2.4万元</t>
  </si>
  <si>
    <t>20702</t>
  </si>
  <si>
    <t>文物</t>
  </si>
  <si>
    <t>2070204</t>
  </si>
  <si>
    <t>文物保护</t>
  </si>
  <si>
    <t xml:space="preserve">1.文物保护经费4.0万元2.凤腾山古墓群巡查员经费4.36万元</t>
  </si>
  <si>
    <t>2070205</t>
  </si>
  <si>
    <t>博物馆</t>
  </si>
  <si>
    <t xml:space="preserve">1..博物馆保安经费10.08万元</t>
  </si>
  <si>
    <t>2070299</t>
  </si>
  <si>
    <t>其他文物支出</t>
  </si>
  <si>
    <t xml:space="preserve">1.文物调查征集经费2.0万元</t>
  </si>
  <si>
    <t>20703</t>
  </si>
  <si>
    <t>体育</t>
  </si>
  <si>
    <t>2070305</t>
  </si>
  <si>
    <t>体育竞赛</t>
  </si>
  <si>
    <t xml:space="preserve">1.2022年体育竞赛经费10.0万元</t>
  </si>
  <si>
    <t>体育场馆</t>
  </si>
  <si>
    <t>上级专款65万元</t>
  </si>
  <si>
    <t>2070308</t>
  </si>
  <si>
    <t>群众体育</t>
  </si>
  <si>
    <t xml:space="preserve">1.群众体育经费20.0万元</t>
  </si>
  <si>
    <t>2070309</t>
  </si>
  <si>
    <t>体育交流与合作</t>
  </si>
  <si>
    <t xml:space="preserve">1.分龙节龙舟大赛费50.0万元</t>
  </si>
  <si>
    <t>20708</t>
  </si>
  <si>
    <t>广播电视</t>
  </si>
  <si>
    <t>2070808</t>
  </si>
  <si>
    <t>广播电视事务</t>
  </si>
  <si>
    <t xml:space="preserve">1.聘用记者社保缴费补助16.6万元2.聘用记者差旅费19.2万元3.县毛南语栏目经费2.0万元</t>
  </si>
  <si>
    <t>2070899</t>
  </si>
  <si>
    <t>其他广播电视支出</t>
  </si>
  <si>
    <t>1.电视台公务业务费8.0万元2.新闻部日常耗材费2.0万元3.摄影制作等影视设备添置及维修维护费3.0万元4.差旅费5.0万元5.采访车费用15.0万元6.频道占用及节目费4.3万元7.广播电视新闻稿费6.0万元8.《博览桂西北》栏目经费50.0万元，融媒体建设运行费30万元</t>
  </si>
  <si>
    <t>其他文化旅游体育与传媒</t>
  </si>
  <si>
    <t>其他文化旅游体育与传媒支出</t>
  </si>
  <si>
    <t>电影公司</t>
  </si>
  <si>
    <t>上级专款463.68万元</t>
  </si>
  <si>
    <t>208</t>
  </si>
  <si>
    <t>社会保障和就业支出</t>
  </si>
  <si>
    <t>20801</t>
  </si>
  <si>
    <t>人力资源和社会保障管理事务</t>
  </si>
  <si>
    <t>2080101</t>
  </si>
  <si>
    <t xml:space="preserve">1.党员活动经费0.33万元</t>
  </si>
  <si>
    <t>2080104</t>
  </si>
  <si>
    <t>综合业务管理</t>
  </si>
  <si>
    <t xml:space="preserve">1.人力资源和社会保障日常工作经费8.0万元</t>
  </si>
  <si>
    <t>2080105</t>
  </si>
  <si>
    <t>劳动保障监察</t>
  </si>
  <si>
    <t xml:space="preserve">1.劳动监察工作经费8.0万元</t>
  </si>
  <si>
    <t>2080106</t>
  </si>
  <si>
    <t>就业管理事务</t>
  </si>
  <si>
    <t xml:space="preserve">1.职业技能培训工作经费2.0万元2.公共就业服务工作经费10.0万元</t>
  </si>
  <si>
    <t>2080109</t>
  </si>
  <si>
    <t>社会保险经办机构</t>
  </si>
  <si>
    <t xml:space="preserve">1.乡镇社保开展城乡养老保险工作经费15.0万元2.社会保险基金征缴任务工作经费4.0万元3.日常工作经费16.0万元4.档案整理8.0万元5.退休职工生存认证、工伤保险待遇支付调查工作专项经费2.4万元6.被征地农民开展工作经费2.4万元</t>
  </si>
  <si>
    <t>乡镇社保所</t>
  </si>
  <si>
    <t>2080112</t>
  </si>
  <si>
    <t>劳动人事争议调解仲裁</t>
  </si>
  <si>
    <t xml:space="preserve">1.劳动仲裁办案工作经费5.76万元</t>
  </si>
  <si>
    <t>2080199</t>
  </si>
  <si>
    <t>其他人力资源和社会保障管理事务支出</t>
  </si>
  <si>
    <t>1.干部人事档案管理工作经费2.4万元2.农民工工资应急周转金8.0万元3.人才中心档案管理经费2.0万元4.公开招聘事业单位工作人员和事业单位紧缺人才工作经费16.0万元5.保障农民工工资工作经费4.0万元6.工伤认定工作经费3.84万元，上级专款74万元。</t>
  </si>
  <si>
    <t>20802</t>
  </si>
  <si>
    <t>民政管理事务</t>
  </si>
  <si>
    <t>2080201</t>
  </si>
  <si>
    <t xml:space="preserve">1.党支部组织生活经费0.3万元</t>
  </si>
  <si>
    <t>2080207</t>
  </si>
  <si>
    <t>行政区划和地名管理</t>
  </si>
  <si>
    <t xml:space="preserve">1.行政区划调整工作经费8.0万元</t>
  </si>
  <si>
    <t>2080299</t>
  </si>
  <si>
    <t>其他民政管理事务支出</t>
  </si>
  <si>
    <t xml:space="preserve">1.乡镇民政办工作经费4.0万元2.民政日常工作经费38.8万元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</si>
  <si>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</si>
  <si>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</si>
  <si>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</si>
  <si>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</si>
  <si>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</si>
  <si>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</si>
  <si>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对机关事单位基本养老保险基金的补助</t>
  </si>
  <si>
    <t>机关事单位基本养老保险基金缺口补助1631万元，上级专款1998万元。</t>
  </si>
  <si>
    <t>2080599</t>
  </si>
  <si>
    <t>其他行政事业单位养老支出</t>
  </si>
  <si>
    <t xml:space="preserve">1.建国初期参加革命工作部分退休干部护理费5.28万元</t>
  </si>
  <si>
    <t>退休人员年金做实帐621万元</t>
  </si>
  <si>
    <t>企业改革补助</t>
  </si>
  <si>
    <t>企业关闭破产补助</t>
  </si>
  <si>
    <t>雅钢解困资金252万元。</t>
  </si>
  <si>
    <t>其他企业改革发展补助</t>
  </si>
  <si>
    <t>就业补助</t>
  </si>
  <si>
    <t>其他就业补助支出</t>
  </si>
  <si>
    <t>20808</t>
  </si>
  <si>
    <t>抚恤</t>
  </si>
  <si>
    <t>2080803</t>
  </si>
  <si>
    <t>在乡复员、退伍军人生活补助</t>
  </si>
  <si>
    <t>1.在乡复员、退伍军人生活补助9.91万元，上级专款702.98万元</t>
  </si>
  <si>
    <t>2080805</t>
  </si>
  <si>
    <t>义务兵优待</t>
  </si>
  <si>
    <t xml:space="preserve">1.义务兵优待3,60.16万元</t>
  </si>
  <si>
    <t>20809</t>
  </si>
  <si>
    <t>退役安置</t>
  </si>
  <si>
    <t>2080901</t>
  </si>
  <si>
    <t>退役士兵安置</t>
  </si>
  <si>
    <t xml:space="preserve">1.退役士兵自主就业金及培训费46.5万元</t>
  </si>
  <si>
    <t>2080905</t>
  </si>
  <si>
    <t>军队转业干部安置</t>
  </si>
  <si>
    <t xml:space="preserve">1.部分退休企业军转干部生活困难补助12.2万元</t>
  </si>
  <si>
    <t>20810</t>
  </si>
  <si>
    <t>社会福利</t>
  </si>
  <si>
    <t>2081001</t>
  </si>
  <si>
    <t>儿童福利</t>
  </si>
  <si>
    <t xml:space="preserve">1.全县事实无人抚养儿童基本生活补助费县级配套资金30.66万元2.孤儿县级配套及六一慰问资金10.8万元</t>
  </si>
  <si>
    <t>2081002</t>
  </si>
  <si>
    <t>老年福利</t>
  </si>
  <si>
    <t>20811</t>
  </si>
  <si>
    <t>残疾人事业</t>
  </si>
  <si>
    <t>2081101</t>
  </si>
  <si>
    <t xml:space="preserve">1.党支部组织生活经费0.15万元</t>
  </si>
  <si>
    <t>2081104</t>
  </si>
  <si>
    <t>残疾人康复</t>
  </si>
  <si>
    <t>1.康复工作项目经费3.84万元2.残疾儿童康复救助22.0万元，上级专款92.4万元</t>
  </si>
  <si>
    <t>2081105</t>
  </si>
  <si>
    <t>残疾人就业</t>
  </si>
  <si>
    <t>1.自治区级“阳光助残扶贫基地”建设配套资金5.0万元2.县级“阳光助残扶贫基地”建设项目5.0万元3.残疾人自主就业创业扶持6.88万元4.扶持教育项目3.87万元5.残疾人就业服务机构建设和运行经费23.44万元。上级专款126.46万元</t>
  </si>
  <si>
    <t>2081107</t>
  </si>
  <si>
    <t>残疾人生活和护理补贴</t>
  </si>
  <si>
    <t xml:space="preserve">1.残疾人两项补贴县配套资金79.32万元</t>
  </si>
  <si>
    <t>2081199</t>
  </si>
  <si>
    <t>其他残疾人事业支出</t>
  </si>
  <si>
    <t>1.重度残疾人（新农合）基本医疗保险个人缴费补贴25.0万元2.个体工商户和灵活就业残疾人参加企业职工养老保险补贴项目4.8万元3.残疾人基本信息更新工作经费9.6万元，上级专款27.28万元</t>
  </si>
  <si>
    <t>其他红十字事业支出</t>
  </si>
  <si>
    <t>上级专款16万元</t>
  </si>
  <si>
    <t>农村最低生活保障金支出</t>
  </si>
  <si>
    <t>上级专款5961万元</t>
  </si>
  <si>
    <t>20821</t>
  </si>
  <si>
    <t>特困人员救助供养</t>
  </si>
  <si>
    <t>2082102</t>
  </si>
  <si>
    <t>农村特困人员救助供养支出</t>
  </si>
  <si>
    <t xml:space="preserve">1.五保服务经费12.0万元2.特困管理人员工资10.0万元</t>
  </si>
  <si>
    <t>20825</t>
  </si>
  <si>
    <t>其他生活救助</t>
  </si>
  <si>
    <t>2082502</t>
  </si>
  <si>
    <t>其他农村生活救助</t>
  </si>
  <si>
    <t>20826</t>
  </si>
  <si>
    <t>财政对基本养老保险基金的补助</t>
  </si>
  <si>
    <t>2082602</t>
  </si>
  <si>
    <t>财政对城乡居民基本养老保险基金的补助</t>
  </si>
  <si>
    <t>1.城乡基本养老基础养老金县级补助4,75.1万元2.城乡基本养老个人缴费县级补助87.22万元，上级专款7406万元</t>
  </si>
  <si>
    <t>20828</t>
  </si>
  <si>
    <t>退役军人管理事务</t>
  </si>
  <si>
    <t>2082801</t>
  </si>
  <si>
    <t xml:space="preserve">1.党员活动经费0.1万元</t>
  </si>
  <si>
    <t>2082804</t>
  </si>
  <si>
    <t>拥军优属</t>
  </si>
  <si>
    <t xml:space="preserve">1.县级“八一”建军节慰问经费40.0万元</t>
  </si>
  <si>
    <t>2082899</t>
  </si>
  <si>
    <t>其他退役军人事务管理支出</t>
  </si>
  <si>
    <t xml:space="preserve">1.退役军人退役迎接仪式座谈会1.5万元2.治安管理5.1万元3.优抚等工作经费11.0万元4.信访维稳0.5万元5.望峰山烈士陵园管理4.0万元6.烈士纪念日活动3.52万元7.军转干部医疗保险4.02万元</t>
  </si>
  <si>
    <t>20830</t>
  </si>
  <si>
    <t>财政代缴社会保险费支出</t>
  </si>
  <si>
    <t>2083001</t>
  </si>
  <si>
    <t>财政代缴城乡居民基本养老保险费支出</t>
  </si>
  <si>
    <t xml:space="preserve">1.城乡居民养老保险特殊人群政府代缴个人保险费19.7万元</t>
  </si>
  <si>
    <t>财政代缴其他社会保险费支出</t>
  </si>
  <si>
    <t>20899</t>
  </si>
  <si>
    <t>其他社会保障和就业支出</t>
  </si>
  <si>
    <t>2089999</t>
  </si>
  <si>
    <t>上级专款2578万元</t>
  </si>
  <si>
    <t>210</t>
  </si>
  <si>
    <t>卫生健康支出</t>
  </si>
  <si>
    <t>21001</t>
  </si>
  <si>
    <t>卫生健康管理事务</t>
  </si>
  <si>
    <t>2100101</t>
  </si>
  <si>
    <t xml:space="preserve">1.卫生健康业务一般工作经费60.6万元2.党支部组织生活经费0.8万元</t>
  </si>
  <si>
    <t>2100199</t>
  </si>
  <si>
    <t>其他卫生健康管理事务支出</t>
  </si>
  <si>
    <t xml:space="preserve">1.创建卫生县城除“四害”专项工作经费18.0万元2.农村医学专业订单定向乡村医生培养经费12.79万元3.卫生应急工作经费8.0万元</t>
  </si>
  <si>
    <t>21002</t>
  </si>
  <si>
    <t>公立医院</t>
  </si>
  <si>
    <t>2100201</t>
  </si>
  <si>
    <t>综合医院</t>
  </si>
  <si>
    <t>1.药品零差率县级补助29.68万元2.免费预防性体检51.84万元</t>
  </si>
  <si>
    <t>21003</t>
  </si>
  <si>
    <t>基层医疗卫生机构</t>
  </si>
  <si>
    <t>2100302</t>
  </si>
  <si>
    <t>乡镇卫生院</t>
  </si>
  <si>
    <t xml:space="preserve">1.党支部生活经费0.33万元</t>
  </si>
  <si>
    <t xml:space="preserve">1.党支部组织生活经费0.06万元</t>
  </si>
  <si>
    <t xml:space="preserve">1.党支部组织生活经费0.11万元</t>
  </si>
  <si>
    <t>2100399</t>
  </si>
  <si>
    <t>其他基层医疗卫生机构支出</t>
  </si>
  <si>
    <t>1.乡村医生养老生活补助10.53万元2.村卫生室基本药物制度补助资金县级配套22.77万元，上级专款848.5万元。</t>
  </si>
  <si>
    <t>21004</t>
  </si>
  <si>
    <t>公共卫生</t>
  </si>
  <si>
    <t>2100401</t>
  </si>
  <si>
    <t>疾病预防控制机构</t>
  </si>
  <si>
    <t>1.党支部组织生活经费0.16万元2.冷链设备管理和免疫规划工作经费37.0万元，上级专款29.78万元</t>
  </si>
  <si>
    <t>2100402</t>
  </si>
  <si>
    <t>卫生监督机构</t>
  </si>
  <si>
    <t xml:space="preserve">1.公共卫生监督项目8.0万元</t>
  </si>
  <si>
    <t>2100403</t>
  </si>
  <si>
    <t>妇幼保健机构</t>
  </si>
  <si>
    <t xml:space="preserve">1.党支部组织生活经费0.55万元2.降消项目6.4万元3.公立医院取消药品加成补助资金1.67万元4.免费婚前医学保健和孕前优生健康检查13.6万元</t>
  </si>
  <si>
    <t>2100408</t>
  </si>
  <si>
    <t>基本公共卫生服务</t>
  </si>
  <si>
    <t>1.基本公共卫生服务项目县级配套资金1,12.42万元，上级专款1906.42万元</t>
  </si>
  <si>
    <t>2100409</t>
  </si>
  <si>
    <t>重大公共卫生服务</t>
  </si>
  <si>
    <t xml:space="preserve">1.严重精神障碍患者以奖代补工作经费47.28万元</t>
  </si>
  <si>
    <t>2100499</t>
  </si>
  <si>
    <t>其他公共卫生支出</t>
  </si>
  <si>
    <t>1.核酸检测及疫情常态化防控项目16.0万元，上级专款466.22万元。</t>
  </si>
  <si>
    <t>中医药</t>
  </si>
  <si>
    <t>中医（民族医）药专项</t>
  </si>
  <si>
    <t>上级专款160万元</t>
  </si>
  <si>
    <t>21007</t>
  </si>
  <si>
    <t>计划生育事务</t>
  </si>
  <si>
    <t>2100716</t>
  </si>
  <si>
    <t>计划生育机构</t>
  </si>
  <si>
    <t>计生所</t>
  </si>
  <si>
    <t xml:space="preserve">1.乡镇计生所工作经费9.6万元</t>
  </si>
  <si>
    <t>2100717</t>
  </si>
  <si>
    <t>计划生育服务</t>
  </si>
  <si>
    <t>1.广西农村计划生育家庭奖励扶(救)助项目县级配套资金16.79万元2.农村独生子女户、双女结扎户新农合补助3,22.88万元3.农村、破产企业、城镇无业人员独生子女保健费18.0万元4.广西城镇居民独生子女父母年老奖励金县级配套6.5万元5.计划生育特殊家庭扶助金10.32万元，上级专款99万元。</t>
  </si>
  <si>
    <t>2100799</t>
  </si>
  <si>
    <t>其他计划生育事务支出</t>
  </si>
  <si>
    <t xml:space="preserve">1.创建自治区卫生县项目工作经费1.0万元2.计生协会工作经费3.2万元3.非财政拨款企业退休人员独生子女待遇94.94万元4.计生家庭关爱保险补助25.0万元5.工人编制所长享受副科工资待遇补助1.17万元6.计划生育免费技术服务县级配套经费5.0万元7.计生协会小组长工资报酬40.72万元</t>
  </si>
  <si>
    <t>21011</t>
  </si>
  <si>
    <t>行政事业单位医疗</t>
  </si>
  <si>
    <t>2101101</t>
  </si>
  <si>
    <t>行政单位医疗</t>
  </si>
  <si>
    <t xml:space="preserve">1.建国初期参加革命工作部分退休干部医疗补助费5.2万元2.离休人员保障经费20.0万元</t>
  </si>
  <si>
    <t>21012</t>
  </si>
  <si>
    <t>财政对基本医疗保险基金的补助</t>
  </si>
  <si>
    <t>2101202</t>
  </si>
  <si>
    <t>财政对城乡居民基本医疗保险基金的补助</t>
  </si>
  <si>
    <t xml:space="preserve">1.城乡居民医疗县级配套补助10,13.12万元</t>
  </si>
  <si>
    <t>医疗救助</t>
  </si>
  <si>
    <t>城乡医疗救助</t>
  </si>
  <si>
    <t>上级专款890万元</t>
  </si>
  <si>
    <t>21015</t>
  </si>
  <si>
    <t>医疗保障管理事务</t>
  </si>
  <si>
    <t>2101501</t>
  </si>
  <si>
    <t>1.日常工作经费14.4万元，上级专款15.45万元。</t>
  </si>
  <si>
    <t>2101550</t>
  </si>
  <si>
    <t>2101599</t>
  </si>
  <si>
    <t>其他医疗保障管理事务支出</t>
  </si>
  <si>
    <t xml:space="preserve">1.打击欺诈骗保专项活动经费5.2万元2.外伤调查经费4.0万元</t>
  </si>
  <si>
    <t>21016</t>
  </si>
  <si>
    <t>老龄卫生健康事务</t>
  </si>
  <si>
    <t>2101601</t>
  </si>
  <si>
    <t>1.老龄办重阳节活动经费7.0万元</t>
  </si>
  <si>
    <t>其他卫生健康支出</t>
  </si>
  <si>
    <t>上级专款773.59万元</t>
  </si>
  <si>
    <t>211</t>
  </si>
  <si>
    <t>节能环保支出</t>
  </si>
  <si>
    <t>环境保护管理事务</t>
  </si>
  <si>
    <t>21102</t>
  </si>
  <si>
    <t>环境监测与监察</t>
  </si>
  <si>
    <t>2110299</t>
  </si>
  <si>
    <t>其他环境监测与监察支出</t>
  </si>
  <si>
    <t xml:space="preserve">1.2022年生态环境局工作经费(环境监测站)8.8万元2.2022年生态环境局工作经费(重点生态功能区监测经费)0.64万元3.2022年生态环境局工作经费(应急中心)11.32万元4.2022年生态环境局工作经费(局机关及监察大队)19.24万元</t>
  </si>
  <si>
    <t>污染防治</t>
  </si>
  <si>
    <t>土壤</t>
  </si>
  <si>
    <t>生态环境保护宣传</t>
  </si>
  <si>
    <t>上级专款1549.17万元</t>
  </si>
  <si>
    <t>天然林保护</t>
  </si>
  <si>
    <t>停伐补助</t>
  </si>
  <si>
    <t>能源节约利用</t>
  </si>
  <si>
    <t>工业和商务局</t>
  </si>
  <si>
    <t>其他节能环保支出</t>
  </si>
  <si>
    <t>212</t>
  </si>
  <si>
    <t>城乡社区支出</t>
  </si>
  <si>
    <t>21201</t>
  </si>
  <si>
    <t>城乡社区管理事务</t>
  </si>
  <si>
    <t>2120101</t>
  </si>
  <si>
    <t xml:space="preserve">1.2022年行政工作经费28.0万元2.2022年党员活动经费0.23万元3.2022年市政工作经费6.4万元</t>
  </si>
  <si>
    <t xml:space="preserve">1.执法工作经费32.0万元</t>
  </si>
  <si>
    <t>2120104</t>
  </si>
  <si>
    <t>城管执法</t>
  </si>
  <si>
    <t xml:space="preserve">1.聘请律师工作经费4.0万元2.党组织生活经费0.22万元3.燃气行政执法整治工作经费3.0万元</t>
  </si>
  <si>
    <t>2120199</t>
  </si>
  <si>
    <t>其他城乡社区管理事务支出</t>
  </si>
  <si>
    <t xml:space="preserve">1.2022年建筑节能墙改工作经费4.0万元</t>
  </si>
  <si>
    <t>21203</t>
  </si>
  <si>
    <t>城乡社区公共设施</t>
  </si>
  <si>
    <t>2120303</t>
  </si>
  <si>
    <t>小城镇基础设施建设</t>
  </si>
  <si>
    <t xml:space="preserve">1.城区下水道清理疏通及市政管理经费12.0万元</t>
  </si>
  <si>
    <t>21205</t>
  </si>
  <si>
    <t>城乡社区环境卫生</t>
  </si>
  <si>
    <t>2120501</t>
  </si>
  <si>
    <t>1.水费7.68万元2.聘用人员慰问金4.0万元3.环卫工人劳保及工具费3.2万元4.河池市德胜生活垃圾处理场运营经费和专项项目建设经费6,40.0万元5.党支部组织生活经费0.11万元6.大广场维护（修）费6.4万元7.城区路树维护（修）费6.4万元8.城区路灯配件及维修费16.0万元9.城区路灯电费2,40.0万元10.城区花厢绿化养护管理经费11.2万元11.城区公共厕所管理费12.8万元12.办公费、代收垃圾处理费手续费7.68万元</t>
  </si>
  <si>
    <t>保洁公司市场运行费1213万元。</t>
  </si>
  <si>
    <t>21206</t>
  </si>
  <si>
    <t>建设市场管理与监督</t>
  </si>
  <si>
    <t>2120601</t>
  </si>
  <si>
    <t xml:space="preserve">1.2022安全质监工作经费4.0万元</t>
  </si>
  <si>
    <t xml:space="preserve">1.党组织活动经费0.14万元2.增值税等附加税2.4万元3.市场代收管理费7.12万元4.市场垃圾卫生费12.0万元5.城镇土地使用税1.8万元6.市场维修费9.6万元7.残疾人就业保证金税费1.6万元</t>
  </si>
  <si>
    <t>21299</t>
  </si>
  <si>
    <t>其他城乡社区支出</t>
  </si>
  <si>
    <t>2129999</t>
  </si>
  <si>
    <t>乡镇建设站</t>
  </si>
  <si>
    <t>乡村清洁经费440万元，乡镇垃圾处理站运行费180万元</t>
  </si>
  <si>
    <t>213</t>
  </si>
  <si>
    <t>农林水支出</t>
  </si>
  <si>
    <t>21301</t>
  </si>
  <si>
    <t>农业农村</t>
  </si>
  <si>
    <t>2130101</t>
  </si>
  <si>
    <t>2130104</t>
  </si>
  <si>
    <t xml:space="preserve">1.村级集体经济组织财务人员业务培训费1.17万元2.党支部组织生活费0.1万元3.农业产业化工作经费1.78万元4.农民负担执法检查工作经费1.0万元5.农村土地承包经营纠纷仲裁工作经费1.5万元6.农村土地承包管理工作经费1.0万元7.农村经济统计工作经费1.0万元8.农村产权流转交易信息平台工作经费3.0万元9.农村集体经济组织和农民专业合作社财务培训费1.0万元</t>
  </si>
  <si>
    <t xml:space="preserve">1.水果技术培训工作经费16.0万元2.党支部组织生活经费0.1万元</t>
  </si>
  <si>
    <t xml:space="preserve">1.高产高糖糖料蔗生产工作会议费1.0万元2.高产高糖糖料蔗生产工作经费6.0万元3.党支部组织生活经费0.13万元4.糖蔗高产高糖栽培技术培训费2.5万元</t>
  </si>
  <si>
    <t>茧丝绸协调中心</t>
  </si>
  <si>
    <t>乡镇</t>
  </si>
  <si>
    <t>2130106</t>
  </si>
  <si>
    <t>科技转化与推广服务</t>
  </si>
  <si>
    <t xml:space="preserve">1.农业支持保护补贴工作经费4.0万元2.科教站培训工作经费1.28万元</t>
  </si>
  <si>
    <t xml:space="preserve">1.2022年水稻生产全程机械化经费1.6万元</t>
  </si>
  <si>
    <t>上级专款25万元。</t>
  </si>
  <si>
    <t>2130108</t>
  </si>
  <si>
    <t>病虫害控制</t>
  </si>
  <si>
    <t>1.畜禽防疫保护费24.0万元2.基层动物防疫强制免疫(村防治员)补助经费34.5万元3.养殖环节病死猪无害化处理补贴经费1.92万元4.动物猪瘟疫苗经费8.8万元5.动物疫病疫情监测经费4.0万元6.病虫害防治经费3.2万元。上级专款67万元。</t>
  </si>
  <si>
    <t>2130109</t>
  </si>
  <si>
    <t>农产品质量安全</t>
  </si>
  <si>
    <t xml:space="preserve">1.农产品质量安全检测5.6万元</t>
  </si>
  <si>
    <t>2130110</t>
  </si>
  <si>
    <t>执法监管</t>
  </si>
  <si>
    <t xml:space="preserve">1.养殖场病死猪无害化处理监管经费8.0万元2.渔政执法经费2.4万元3.农业综合行政执法8.0万元4.食品安全、屠宰检疫、兽药监管执法经费7.2万元5.农机执法经费13.6万元</t>
  </si>
  <si>
    <t>2130111</t>
  </si>
  <si>
    <t>统计监测与信息服务</t>
  </si>
  <si>
    <t xml:space="preserve">1.农业遥感经费3.0万元2.县级农业遥感监测站项目运行3.0万元3.党支部组织生活经费0.07万元4.市级遥感试点业务工作1.13万元</t>
  </si>
  <si>
    <t>稳定农民收入补贴</t>
  </si>
  <si>
    <t>2130121</t>
  </si>
  <si>
    <t>农业结构调整补贴</t>
  </si>
  <si>
    <t xml:space="preserve">1.现代特色农业核心示范区建设工作经费1.6万元2.耕地质量定点监测费3.2万元</t>
  </si>
  <si>
    <t>2130122</t>
  </si>
  <si>
    <t>农业生产发展</t>
  </si>
  <si>
    <t>上级专款137.5万元</t>
  </si>
  <si>
    <t>农村合作经济</t>
  </si>
  <si>
    <t>农村社会事业</t>
  </si>
  <si>
    <t>2130135</t>
  </si>
  <si>
    <t>农业资源保护修复与利用</t>
  </si>
  <si>
    <t>1.环江香猪原种保种场维修费4.0万元2.大、小环江河鱼苗增值放流2.4万元，上级专款87万元。</t>
  </si>
  <si>
    <t>农田建设</t>
  </si>
  <si>
    <t>上级专款4138万元。</t>
  </si>
  <si>
    <t>2130199</t>
  </si>
  <si>
    <t>其他农业农村支出</t>
  </si>
  <si>
    <t>1.能源项目工作经费2.4万元2.“菜篮子”工程蔬菜应急采购调运资金5.6万元3.农机产品质量监督工作经费3.2万元，上级专款16万元。</t>
  </si>
  <si>
    <t xml:space="preserve">1.2022年党支部组织生活经费0.31万元2.2022年农机购置补贴经费12.24万元</t>
  </si>
  <si>
    <t>21302</t>
  </si>
  <si>
    <t>林业和草原</t>
  </si>
  <si>
    <t>2130201</t>
  </si>
  <si>
    <t>2130204</t>
  </si>
  <si>
    <t>事业机构</t>
  </si>
  <si>
    <t xml:space="preserve">1.党支部组织生活费0.62万元2.各分场、场部基础建设费5.0万元</t>
  </si>
  <si>
    <t>2130205</t>
  </si>
  <si>
    <t>森林资源培育</t>
  </si>
  <si>
    <t xml:space="preserve">1.爱山森林公园项目32.0万元</t>
  </si>
  <si>
    <t xml:space="preserve">1.营林防火生产费26.93万元</t>
  </si>
  <si>
    <t>2130206</t>
  </si>
  <si>
    <t>技术推广与转化</t>
  </si>
  <si>
    <t xml:space="preserve">1.林业技术推广与转化1.3万元</t>
  </si>
  <si>
    <t>森林生态效益补偿</t>
  </si>
  <si>
    <t>2130213</t>
  </si>
  <si>
    <t>执法与监督</t>
  </si>
  <si>
    <t xml:space="preserve">1.林业执法案件鉴定费20.0万元2.林业综合行政执法项目经费21.82万元</t>
  </si>
  <si>
    <t xml:space="preserve">1.林地综合整治业务费6.0万元</t>
  </si>
  <si>
    <t>2130234</t>
  </si>
  <si>
    <t>林业草原防灾减灾</t>
  </si>
  <si>
    <t xml:space="preserve">1.森林病虫害防治项目经费20.0万元</t>
  </si>
  <si>
    <t xml:space="preserve">1.森林防火经费2.3万元2.病虫害防治费1.85万元</t>
  </si>
  <si>
    <t>2130299</t>
  </si>
  <si>
    <t>其他林业和草原支出</t>
  </si>
  <si>
    <t>1.全县林长制工作经费预算10.0万元2.生态护林员补助工作经费5.0万元3.林业行政办公系统维护项目经费9.0万元4.油茶产业发展项目工作经费5.0万元5.林政管理项目工作经费10.0万元6.林业局党支部组织生活经费0.77万元7.区、市、县林业项目绩效考评及档案管理项目工作经费6.0万元8.营造林工作经费6.0万元9.林业产业化项目工作经费5.0万元10.林业山林纠纷调处项目经费8.0万元11.防火专项工作经费6.0万元12.绿化建设工作经费6.0万元13.全国重点工程区基层站标准化林业站建设县级工作经费16.0万元14.油茶产业宣传材料及测产工作劳务补助10.0万元15.林改项目经费3.0万元。上级专款5336.16万元</t>
  </si>
  <si>
    <t>21303</t>
  </si>
  <si>
    <t>水利</t>
  </si>
  <si>
    <t>2130301</t>
  </si>
  <si>
    <t xml:space="preserve">1.2022年党支部组织生活经费0.32万元2.2022年县城河道水上环卫队经费12.0万元3.2022年水利工作经费16.0万元</t>
  </si>
  <si>
    <t>2130304</t>
  </si>
  <si>
    <t>水利行业业务管理</t>
  </si>
  <si>
    <t>1.山洪灾害非工程措施监测、预警系统运行维护费10.3万元2.河长制工作经费8.0万元3.25座水库汛期值班费51.9万元4.河池市县河流交界水质达标率绩效考评经费7.1万元5.下甫下庙办公经费6.0万元</t>
  </si>
  <si>
    <t>水利工程建设</t>
  </si>
  <si>
    <t>上级专款3932万元</t>
  </si>
  <si>
    <t>2130310</t>
  </si>
  <si>
    <t>水土保持</t>
  </si>
  <si>
    <t>1.水土保持工作经费8.0万元</t>
  </si>
  <si>
    <t>2130311</t>
  </si>
  <si>
    <t>水资源节约管理与保护</t>
  </si>
  <si>
    <t>1.水政水资源工作经费9.48万元</t>
  </si>
  <si>
    <t>2130314</t>
  </si>
  <si>
    <t>防汛</t>
  </si>
  <si>
    <t xml:space="preserve">1.2022年汛期防办值班补助经费10.68万元2.2022年全县防汛抗旱工作会议经费1.0万元3.2022年水库防汛值班定位电话0.78万元4.2022年租用电信光缆经费2.5万元</t>
  </si>
  <si>
    <t>2130399</t>
  </si>
  <si>
    <t>其他水利支出</t>
  </si>
  <si>
    <t>21305</t>
  </si>
  <si>
    <t>巩固脱贫衔接乡村振兴</t>
  </si>
  <si>
    <t>2130501</t>
  </si>
  <si>
    <t xml:space="preserve">1.扶贫办年度单位业务费26.08万元</t>
  </si>
  <si>
    <t>2130505</t>
  </si>
  <si>
    <t>生产发展</t>
  </si>
  <si>
    <t xml:space="preserve">1.乡村振兴办工作经费5.0万元2.核桃产业化发展项目经费6.0万元</t>
  </si>
  <si>
    <t>2130550</t>
  </si>
  <si>
    <t>2130599</t>
  </si>
  <si>
    <t>其他巩固脱贫衔接乡村振兴支出</t>
  </si>
  <si>
    <t xml:space="preserve">1.贫困人口参合补助资金县级配套9,00.0万元</t>
  </si>
  <si>
    <t>1.革命老区促进会工作经费1.6万元2.脱贫攻坚指挥部工作经费63万元</t>
  </si>
  <si>
    <t>巩固脱贫衔接乡村振兴项目前期费1250万元，2022年第一书记及驻村工作队员经费532.32万元。</t>
  </si>
  <si>
    <t>21307</t>
  </si>
  <si>
    <t>农村综合改革</t>
  </si>
  <si>
    <t>对村级公益事业建设的补助</t>
  </si>
  <si>
    <t>一事一议县级配套649万元，项目管理费119万元。</t>
  </si>
  <si>
    <t>2130705</t>
  </si>
  <si>
    <t>对村民委员会和村党支部的补助</t>
  </si>
  <si>
    <t>村委</t>
  </si>
  <si>
    <t>2020年度村干部绩效奖250万元（工福）</t>
  </si>
  <si>
    <t>其他农农村综合改革支出</t>
  </si>
  <si>
    <t>上级专款2124万元</t>
  </si>
  <si>
    <t>普惠金融发展支出</t>
  </si>
  <si>
    <t>农业保险保费补贴</t>
  </si>
  <si>
    <t>政策性保险补贴160万元。上级专款42554万元</t>
  </si>
  <si>
    <t>创业担保贷款贴息及奖补</t>
  </si>
  <si>
    <t>上级专款26.17万元</t>
  </si>
  <si>
    <t>21399</t>
  </si>
  <si>
    <t>其他农林水支出</t>
  </si>
  <si>
    <t>2139999</t>
  </si>
  <si>
    <t xml:space="preserve">1.县城2个安置区工作经费12.79万元2.水库水库移民项目前期工作10.62万元3.水库移民后期扶持政策实施工作经费2.0万元4.库区维稳工作经费3.0万元5.干捞水电站移民安置工作经费1.0万元6.党支部组织生活经费0.11万元</t>
  </si>
  <si>
    <t>1.林矿综合执法大队人员及工作经费168万元；2.上级专款215万元（产粮大县奖励资金）</t>
  </si>
  <si>
    <t>214</t>
  </si>
  <si>
    <t>交通运输支出</t>
  </si>
  <si>
    <t>21401</t>
  </si>
  <si>
    <t>公路水路运输</t>
  </si>
  <si>
    <t>2140101</t>
  </si>
  <si>
    <t xml:space="preserve">1.党员活运经费0.42万元</t>
  </si>
  <si>
    <t>2140106</t>
  </si>
  <si>
    <t>公路养护</t>
  </si>
  <si>
    <t xml:space="preserve">1.2021年县乡联网建设工作费50.0万元2.农村公路养护费1,19.0万元3.水毁抢修费用50.0万元4.公路抢修保养31.0万元</t>
  </si>
  <si>
    <t>2140110</t>
  </si>
  <si>
    <t>公路和运输安全</t>
  </si>
  <si>
    <t xml:space="preserve">1.购置公务执法用车20.0万元</t>
  </si>
  <si>
    <t>2140112</t>
  </si>
  <si>
    <t>公路运输管理</t>
  </si>
  <si>
    <t>车辆购置税支出</t>
  </si>
  <si>
    <t>车辆购置税用于公路等基础设施建设支出</t>
  </si>
  <si>
    <t>21499</t>
  </si>
  <si>
    <t>其他交通运输支出</t>
  </si>
  <si>
    <t>2149901</t>
  </si>
  <si>
    <t>公共交通运营补助</t>
  </si>
  <si>
    <t xml:space="preserve">1.建制村通客车营运费补贴32.8万元</t>
  </si>
  <si>
    <t>公交补贴40万元</t>
  </si>
  <si>
    <t>上级专水280万元。</t>
  </si>
  <si>
    <t>215</t>
  </si>
  <si>
    <t>资源勘探工业信息等支出</t>
  </si>
  <si>
    <t>21501</t>
  </si>
  <si>
    <t>资源勘探开发</t>
  </si>
  <si>
    <t>2150199</t>
  </si>
  <si>
    <t>其他资源勘探业支出</t>
  </si>
  <si>
    <t xml:space="preserve">1.经常性费用29.09万元2.红安、红阳社区公共设施日常管理经费5.0万元3.聘用环卫工资及环卫支出39.63万元4.管理处门面及基础设施维修工程5.0万元5.党支部组织生活经费0.38万元</t>
  </si>
  <si>
    <t>21502</t>
  </si>
  <si>
    <t>制造业</t>
  </si>
  <si>
    <t>2150201</t>
  </si>
  <si>
    <t xml:space="preserve">1.工艺美术展经费1.44万元2.学习考察费用0.72万元3.环境倒逼、烟花爆竹检查费用0.71万元4.房屋维修费用0.72万元5.党支部组织生活经费0.14万元6.党报、党刊费用0.36万元7.办公经费1.44万元</t>
  </si>
  <si>
    <t>支持中小企业发展和管理支出</t>
  </si>
  <si>
    <t>其他资源勘探工业信息等支出</t>
  </si>
  <si>
    <t>河池·环江工业园区管理委员会</t>
  </si>
  <si>
    <t>21599</t>
  </si>
  <si>
    <t>2159999</t>
  </si>
  <si>
    <t>216</t>
  </si>
  <si>
    <t>商业服务业等支出</t>
  </si>
  <si>
    <t>21602</t>
  </si>
  <si>
    <t>商业流通事务</t>
  </si>
  <si>
    <t>2160201</t>
  </si>
  <si>
    <t xml:space="preserve">1.培训费1.28万元2.会议费1.0万元3.工作经费4.5万元4.办公设备购置1.28万元5.党支部组织生活经费0.11万元</t>
  </si>
  <si>
    <t>2160299</t>
  </si>
  <si>
    <t>其他商业流通事务支出</t>
  </si>
  <si>
    <t xml:space="preserve">1.综合改革资金8.0万元</t>
  </si>
  <si>
    <t>21699</t>
  </si>
  <si>
    <t>其他商业服务业等支出</t>
  </si>
  <si>
    <t>2169999</t>
  </si>
  <si>
    <t>金融</t>
  </si>
  <si>
    <t>其他金融支出</t>
  </si>
  <si>
    <t>220</t>
  </si>
  <si>
    <t>自然资源海洋气象等支出</t>
  </si>
  <si>
    <t>22001</t>
  </si>
  <si>
    <t>自然资源事务</t>
  </si>
  <si>
    <t>2200101</t>
  </si>
  <si>
    <t>自然资源规划及管理</t>
  </si>
  <si>
    <t>2200106</t>
  </si>
  <si>
    <t>自然资源利用与保护</t>
  </si>
  <si>
    <t xml:space="preserve">1.土地资源利用与保护工作经费12.8万元</t>
  </si>
  <si>
    <t>2200108</t>
  </si>
  <si>
    <t>自然资源行业业务管理</t>
  </si>
  <si>
    <t xml:space="preserve">1.土地执法监察经费13.6万元</t>
  </si>
  <si>
    <t>2200114</t>
  </si>
  <si>
    <t>地质勘查与矿产资源管理</t>
  </si>
  <si>
    <t xml:space="preserve">1.地质灾害防治及矿产资源管理经费6.4万元</t>
  </si>
  <si>
    <t>2200150</t>
  </si>
  <si>
    <t xml:space="preserve">1.土地开发整理中心事业运行基本支出24.0万元</t>
  </si>
  <si>
    <t>2200199</t>
  </si>
  <si>
    <t>其他自然资源事务支出</t>
  </si>
  <si>
    <t xml:space="preserve">1.党员活动经费0.58万元2.第三次国土调查、三调分类80.0万元3.不动产登记及地籍调查经费12.0万元</t>
  </si>
  <si>
    <t>气象事务</t>
  </si>
  <si>
    <t>气象服务</t>
  </si>
  <si>
    <t>气象局</t>
  </si>
  <si>
    <t>气象局工作经费</t>
  </si>
  <si>
    <t>221</t>
  </si>
  <si>
    <t>住房保障支出</t>
  </si>
  <si>
    <t>农村危户改造</t>
  </si>
  <si>
    <t>上级专款183.56万元</t>
  </si>
  <si>
    <t>22102</t>
  </si>
  <si>
    <t>住房改革支出</t>
  </si>
  <si>
    <t>2210201</t>
  </si>
  <si>
    <t>住房公积金</t>
  </si>
  <si>
    <t>22103</t>
  </si>
  <si>
    <t>城乡社区住宅</t>
  </si>
  <si>
    <t>2210399</t>
  </si>
  <si>
    <t>其他城乡社区住宅支出</t>
  </si>
  <si>
    <t xml:space="preserve">1.2022年房管所工作经费3.2万元</t>
  </si>
  <si>
    <t>222</t>
  </si>
  <si>
    <t>粮油物资储备支出</t>
  </si>
  <si>
    <t>22201</t>
  </si>
  <si>
    <t>粮油物资事务</t>
  </si>
  <si>
    <t>2220105</t>
  </si>
  <si>
    <t>信息统计</t>
  </si>
  <si>
    <t xml:space="preserve">1.粮食信息统计社会调查费1.28万元</t>
  </si>
  <si>
    <t>2220106</t>
  </si>
  <si>
    <t>专项业务活动</t>
  </si>
  <si>
    <t xml:space="preserve">1.粮食执法业务工作经费2.22万元2.春秋两季储备粮安全普查经费1.73万元3.粮食订单收购直补工作经费1.92万元</t>
  </si>
  <si>
    <t>22204</t>
  </si>
  <si>
    <t>粮油储备</t>
  </si>
  <si>
    <t>2220499</t>
  </si>
  <si>
    <t>其他粮油储备支出</t>
  </si>
  <si>
    <t xml:space="preserve">1.水源林粮补贴58.68万元2.粮食仓库维修费8.0万元</t>
  </si>
  <si>
    <t>22205</t>
  </si>
  <si>
    <t>重要商品储备</t>
  </si>
  <si>
    <t>2220511</t>
  </si>
  <si>
    <t>应急物资储备</t>
  </si>
  <si>
    <t xml:space="preserve">1.物资储备工作经费3.2万元</t>
  </si>
  <si>
    <t>224</t>
  </si>
  <si>
    <t>灾害防治及应急管理支出</t>
  </si>
  <si>
    <t>22401</t>
  </si>
  <si>
    <t>应急管理事务</t>
  </si>
  <si>
    <t>2240101</t>
  </si>
  <si>
    <t>2240102</t>
  </si>
  <si>
    <t xml:space="preserve">1.防汛抗旱专项工作资金12.42万元2.综合应急指挥中心工作资金5.6万元</t>
  </si>
  <si>
    <t>2240103</t>
  </si>
  <si>
    <t xml:space="preserve">1.党支部组织生活资金0.18万元</t>
  </si>
  <si>
    <t>灾害风险防治</t>
  </si>
  <si>
    <t>2240106</t>
  </si>
  <si>
    <t>安全监管</t>
  </si>
  <si>
    <t xml:space="preserve">1.聘请安全生产专家检查、评审资金20.0万元2.安全生产执法监察大队工作资金3.2万元3.安全生产月活动资金2.5万元4.安全生产委员会办公室办公资金3.2万元5.安全监督监察专项资金6.4万元</t>
  </si>
  <si>
    <t>2240109</t>
  </si>
  <si>
    <t>应急管理</t>
  </si>
  <si>
    <t xml:space="preserve">1.应急救援专项工作资金12.0万元</t>
  </si>
  <si>
    <t>22402</t>
  </si>
  <si>
    <t>消防救援事务</t>
  </si>
  <si>
    <t>2240202</t>
  </si>
  <si>
    <t xml:space="preserve">1.森林防灭火专项工作资金14.4万元</t>
  </si>
  <si>
    <t>2240204</t>
  </si>
  <si>
    <t>消防应急救援</t>
  </si>
  <si>
    <t>消防大队</t>
  </si>
  <si>
    <t xml:space="preserve">1.2022年预发绩效24.48万元2.国家综合性消防救援队伍改革性补贴2.19万元3.伙食补助费6.02万元4.消防队工会经费8.8万元5.政府专职队日常伙食费27.0万元6.灭火药剂和常用器材储备费34.0万元7.训练费16.93万元8.执法办案费8.5万元9.消防宣传费24.19万元10.消防信息网络运行费21.25万元11.消防装备器材维护管理费16.58万元12.车辆维护费38.68万元13.政府专职消防队公用经费1,53.56万元14.政府专职消防队人员意外险13.54万元15.政府专职消防队人员社会保障缴费82.19万元16.国家综合性消防队人员意外险5.49万元17.国家综合性消防队人员体检费3.6万元18.政府专职消防队人员工资2,33.39万元</t>
  </si>
  <si>
    <t>22405</t>
  </si>
  <si>
    <t>地震事务</t>
  </si>
  <si>
    <t>2240501</t>
  </si>
  <si>
    <t>2240505</t>
  </si>
  <si>
    <t>地震预测预报</t>
  </si>
  <si>
    <t xml:space="preserve">1.地震预测预报与宏观观测4.81万元</t>
  </si>
  <si>
    <t>2240506</t>
  </si>
  <si>
    <t>地震灾害预防</t>
  </si>
  <si>
    <t xml:space="preserve">1.广西地震烈度速报与预警系统项目台站管护4.15万元2.广西地震背景场观测网络项目日常运行3.0万元</t>
  </si>
  <si>
    <t>2240599</t>
  </si>
  <si>
    <t>其他地震事务支出</t>
  </si>
  <si>
    <t xml:space="preserve">1.年度党员活动经费0.04万元2.防震减灾科普宣传3.0万元</t>
  </si>
  <si>
    <t>自然灾害救灾及恢复重建支出</t>
  </si>
  <si>
    <t>自然灾害救灾补助</t>
  </si>
  <si>
    <t>预备费</t>
  </si>
  <si>
    <t>229</t>
  </si>
  <si>
    <t>其他支出</t>
  </si>
  <si>
    <t>年初预留</t>
  </si>
  <si>
    <t>离休退生活补助70万元，抚恤金800万元，正常调资779万元，化解财政垫支500万元。</t>
  </si>
  <si>
    <t>22999</t>
  </si>
  <si>
    <t>2299999</t>
  </si>
  <si>
    <t>世行贷款还款550万元，退休干部春节慰问经旨300万元，绩效奖8970万元，乡镇公益事业100万元，财税征收工作经费380万元，项目前期费2500万元，高铁站房建设经费500万元。上级专款5070万元。</t>
  </si>
  <si>
    <t>债务付息支出</t>
  </si>
  <si>
    <t>地方政府一般债务付息支出</t>
  </si>
  <si>
    <t>附件5</t>
  </si>
  <si>
    <t>环江毛南族自治县2022年政府性基金预算收入表</t>
  </si>
  <si>
    <t>年初预算数</t>
  </si>
  <si>
    <t>调整预算数</t>
  </si>
  <si>
    <t>完成数</t>
  </si>
  <si>
    <t>完成年初预算</t>
  </si>
  <si>
    <t>完成调整预算</t>
  </si>
  <si>
    <t>2020年完成数</t>
  </si>
  <si>
    <t>比2021完成数增减</t>
  </si>
  <si>
    <t>增减幅</t>
  </si>
  <si>
    <t>1.旅游发展基金收入</t>
  </si>
  <si>
    <t>2.国家电影事业发展专项资金收入</t>
  </si>
  <si>
    <t>3.国有土地收益基金收入</t>
  </si>
  <si>
    <t>4.农业土地开发资金收入</t>
  </si>
  <si>
    <t>5.国有土地使用权出让收入</t>
  </si>
  <si>
    <t>6.大中型水库移民后期扶持基金收入</t>
  </si>
  <si>
    <t>7.大中型水库库区基金收入</t>
  </si>
  <si>
    <t>8.彩票公益金收入</t>
  </si>
  <si>
    <t>9.城市基础设施配套费收入</t>
  </si>
  <si>
    <t>10.小型水库移民扶助基金收入</t>
  </si>
  <si>
    <t>15.国家重大水利工程建设基金收入</t>
  </si>
  <si>
    <t>16.车辆通行费</t>
  </si>
  <si>
    <t>11.污水处理费收入</t>
  </si>
  <si>
    <t>12.彩票发行机构和彩票销售机构的业务费用</t>
  </si>
  <si>
    <t>13.其他政府性基金收入</t>
  </si>
  <si>
    <t>14.专项债券对应项目专项收入</t>
  </si>
  <si>
    <t>收  入  合  计</t>
  </si>
  <si>
    <t>转移性收入</t>
  </si>
  <si>
    <t xml:space="preserve"> 政府性基金转移收入</t>
  </si>
  <si>
    <t xml:space="preserve">    　政府性基金补助收入</t>
  </si>
  <si>
    <t xml:space="preserve">    　政府性基金上解收入</t>
  </si>
  <si>
    <t xml:space="preserve">    上年结余收入</t>
  </si>
  <si>
    <t xml:space="preserve">    调入资金</t>
  </si>
  <si>
    <t xml:space="preserve">    债务转贷收入</t>
  </si>
  <si>
    <t xml:space="preserve">        国有土地使用权出让金债务转贷收入</t>
  </si>
  <si>
    <t xml:space="preserve">        </t>
  </si>
  <si>
    <t>附件6</t>
  </si>
  <si>
    <t>环江毛南族自治县2022年政府性基金预算支出表</t>
  </si>
  <si>
    <t>完成年初
预算</t>
  </si>
  <si>
    <t>完成年度
预算</t>
  </si>
  <si>
    <t>2020年
完成数</t>
  </si>
  <si>
    <t>其中：</t>
  </si>
  <si>
    <t>县本级支出</t>
  </si>
  <si>
    <t>上级补助收入</t>
  </si>
  <si>
    <t>上年结转</t>
  </si>
  <si>
    <t>一、文化体育与传媒支出</t>
  </si>
  <si>
    <t xml:space="preserve">    国家电影事业发展专项资金安排的支出</t>
  </si>
  <si>
    <t xml:space="preserve">      资助国产影片放映</t>
  </si>
  <si>
    <t xml:space="preserve">      资助影院建设</t>
  </si>
  <si>
    <t xml:space="preserve">      其他国家电影事业发展专项资金支出</t>
  </si>
  <si>
    <t xml:space="preserve">    旅游发展基金支出</t>
  </si>
  <si>
    <t xml:space="preserve">    国家电影事业发展专项资金对应专项债务收入安排的支出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</si>
  <si>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</si>
  <si>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</si>
  <si>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</si>
  <si>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</si>
  <si>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</si>
  <si>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>三、城乡社区支出</t>
  </si>
  <si>
    <t xml:space="preserve">   国有土地使用权出让收入及对应专项债务收入安排的支出</t>
  </si>
  <si>
    <t xml:space="preserve">  城市基础设施配套安排的支出</t>
  </si>
  <si>
    <t xml:space="preserve">  国有土地收益基金及对应专项债务收入安排的支出</t>
  </si>
  <si>
    <t xml:space="preserve">   农业土地开发资金及对应专项债务收入安排的支出</t>
  </si>
  <si>
    <t xml:space="preserve">   城市基础设施配套费及对应专项债务收入安排的支出</t>
  </si>
  <si>
    <t xml:space="preserve">   污水处理费安排的支出</t>
  </si>
  <si>
    <t>　    征地和拆迁补偿支出</t>
  </si>
  <si>
    <t>　    土地开发支出</t>
  </si>
  <si>
    <t>　    其他土地储备专项债务收入安排的支出</t>
  </si>
  <si>
    <t xml:space="preserve">   棚户区改造专项债务收入安排的支出</t>
  </si>
  <si>
    <t>　    其他棚户区改造专项债务收入安排的支出</t>
  </si>
  <si>
    <t>.......</t>
  </si>
  <si>
    <t>四、农林水支出</t>
  </si>
  <si>
    <t xml:space="preserve">    大中型水库库区基金安排的支出</t>
  </si>
  <si>
    <t xml:space="preserve">    国家重大水利工程建设基金安排的支出</t>
  </si>
  <si>
    <t>五、其他支出</t>
  </si>
  <si>
    <t xml:space="preserve">    其他政府性基金及对应专项债务收入安排的支出</t>
  </si>
  <si>
    <t xml:space="preserve">    彩票公益金安排的支出</t>
  </si>
  <si>
    <t xml:space="preserve">        用于社会福利的彩票公益金支出</t>
  </si>
  <si>
    <t xml:space="preserve">        用于体育事业的彩票公益金支出</t>
  </si>
  <si>
    <t xml:space="preserve">        用于教育事业的彩票公益金支出</t>
  </si>
  <si>
    <t xml:space="preserve">        用于残疾人事业的彩票公益金支出</t>
  </si>
  <si>
    <t xml:space="preserve">        用于城乡医疗救助的彩票公益金支出</t>
  </si>
  <si>
    <t>九、债务支息支出</t>
  </si>
  <si>
    <t xml:space="preserve">     地方政府专项债务付息支出</t>
  </si>
  <si>
    <t>十、债务发行费用支出</t>
  </si>
  <si>
    <t xml:space="preserve">     地方政府专项债务发行费用支出</t>
  </si>
  <si>
    <t>十一、抗疫特别国债安排支出</t>
  </si>
  <si>
    <t>支  出  合  计</t>
  </si>
  <si>
    <t>转移性支出及债务还本支出</t>
  </si>
  <si>
    <t xml:space="preserve"> 转移性支出</t>
  </si>
  <si>
    <t xml:space="preserve">    政府性基金转移支付</t>
  </si>
  <si>
    <t xml:space="preserve">    　政府性基金补助支出</t>
  </si>
  <si>
    <t xml:space="preserve">    　政府性基金上解支出</t>
  </si>
  <si>
    <t xml:space="preserve">    调出资金</t>
  </si>
  <si>
    <t xml:space="preserve">    年终结余</t>
  </si>
  <si>
    <t xml:space="preserve">    债务转贷支出</t>
  </si>
  <si>
    <t xml:space="preserve">   地方政府专项债务还本支出</t>
  </si>
  <si>
    <t xml:space="preserve">       国有土地使用权出让金债务还本支出</t>
  </si>
  <si>
    <t xml:space="preserve">       国有土地收益基金债务还本支出</t>
  </si>
  <si>
    <t xml:space="preserve">       土地储备专项债券还本支出</t>
  </si>
  <si>
    <t xml:space="preserve">       政府收费公路专项债券还本支出</t>
  </si>
  <si>
    <t xml:space="preserve">       棚户区改造专项债券还本支出</t>
  </si>
  <si>
    <t xml:space="preserve">       其他政府性基金债务还本支出</t>
  </si>
  <si>
    <t>附件7</t>
  </si>
  <si>
    <t>环江毛南族自治县2022年政府性基金支出明细表</t>
  </si>
  <si>
    <t>单位名称</t>
  </si>
  <si>
    <t>合    计</t>
  </si>
  <si>
    <t>国家电影事业发展专项资金安排的支出</t>
  </si>
  <si>
    <t>资助国产影片放映</t>
  </si>
  <si>
    <t>文化广电体育和旅游局</t>
  </si>
  <si>
    <t>补助国产影片放映</t>
  </si>
  <si>
    <t>其他国家电影事业发展专项资金支出</t>
  </si>
  <si>
    <t>全县旅游开发</t>
  </si>
  <si>
    <t>大中型水库移民后期扶持基金</t>
  </si>
  <si>
    <t>移民补助</t>
  </si>
  <si>
    <t>基础设施建设和经济发展</t>
  </si>
  <si>
    <t>移民扶助项目</t>
  </si>
  <si>
    <t>城乡社区</t>
  </si>
  <si>
    <t>国有土地使用权出让收入安排的支出</t>
  </si>
  <si>
    <t>征地和拆迁补偿支出</t>
  </si>
  <si>
    <t>土地储备交易中心</t>
  </si>
  <si>
    <t>建设项目前期土地开发</t>
  </si>
  <si>
    <t>农村基础设施建设支出</t>
  </si>
  <si>
    <t>农业生产发展支出</t>
  </si>
  <si>
    <t>城市基础设施配套费安排的支出</t>
  </si>
  <si>
    <t>城市公共设施</t>
  </si>
  <si>
    <t>住建局</t>
  </si>
  <si>
    <t>城市基础设施建设300万元。</t>
  </si>
  <si>
    <t>市政基础设施建设</t>
  </si>
  <si>
    <t>污水处理安排的支出</t>
  </si>
  <si>
    <t>污水处理设施建设安排的支出</t>
  </si>
  <si>
    <t>污水处理厂</t>
  </si>
  <si>
    <t>其中：污水处理厂运行费550万元。</t>
  </si>
  <si>
    <t>污水处理厂运行费</t>
  </si>
  <si>
    <t>大中型水库库区基金安排的支出</t>
  </si>
  <si>
    <t>其他政府性基金安排的支出</t>
  </si>
  <si>
    <t>用于社会福利的彩票公益金支出</t>
  </si>
  <si>
    <t>用于老年人、残疾人、儿童、社会公益四方面。</t>
  </si>
  <si>
    <t>墙改基金结余</t>
  </si>
  <si>
    <t>用于体育事业的彩票公益金支出</t>
  </si>
  <si>
    <t>用于教育事业的彩票公益金支出</t>
  </si>
  <si>
    <t>用于残疾人事业的彩票公益金支出</t>
  </si>
  <si>
    <t>统筹用于残疾儿童康复救助、贫困智力精神和重度残疾人残疾评定补贴、贫困重度残疾人家族无障碍改造、残疾人康复和托养机构设备补贴、残疾人助学、残疾文化等。</t>
  </si>
  <si>
    <t>用于城乡医疗救助的彩票公益金支出</t>
  </si>
  <si>
    <t>用于农村贫困人口符合医疗救助规定的个人自付医疗费用。</t>
  </si>
  <si>
    <t>体育活动</t>
  </si>
  <si>
    <t>附件8</t>
  </si>
  <si>
    <t>环江毛南族自治县2022年社会保险基金预算收入表</t>
  </si>
  <si>
    <t>项  目</t>
  </si>
  <si>
    <t>2021年完成情况</t>
  </si>
  <si>
    <t>调整预算</t>
  </si>
  <si>
    <t>预计完成数</t>
  </si>
  <si>
    <t>完成调整
预算</t>
  </si>
  <si>
    <t>2017年
完成数</t>
  </si>
  <si>
    <t>比2021年预计完成数增减</t>
  </si>
  <si>
    <t>一、城乡居民基本养老保险基金收入</t>
  </si>
  <si>
    <t xml:space="preserve">    其中：缴费收入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</si>
  <si>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</si>
  <si>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</si>
  <si>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</si>
  <si>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集体补助收入</t>
  </si>
  <si>
    <t xml:space="preserve">          其他收入</t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</si>
  <si>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转移</t>
    </r>
    <r>
      <rPr>
        <sz val="11"/>
        <color indexed="8"/>
        <rFont val="宋体"/>
        <charset val="134"/>
      </rPr>
      <t>收入</t>
    </r>
  </si>
  <si>
    <t>二、机关事业单位基本养老保险基金收入</t>
  </si>
  <si>
    <t xml:space="preserve">    其中：保险费收入</t>
  </si>
  <si>
    <t>收入合计</t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</si>
  <si>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城乡居民基本养老保险基金结余</t>
    </r>
  </si>
  <si>
    <r>
      <rPr>
        <sz val="11"/>
        <color indexed="8"/>
        <rFont val="宋体"/>
        <charset val="134"/>
      </rPr>
      <t xml:space="preserve"> </t>
    </r>
    <r>
      <rPr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>机关事业单位基本养老保险基金结余</t>
    </r>
  </si>
  <si>
    <t>+</t>
  </si>
  <si>
    <t>附件9</t>
  </si>
  <si>
    <t>环江毛南族自治县2022年社会保险基金预算支出表</t>
  </si>
  <si>
    <t>一、城乡居民基本养老保险基金支出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</si>
  <si>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</si>
  <si>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</si>
  <si>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</t>
  </si>
  <si>
    <t xml:space="preserve">           其他支出</t>
  </si>
  <si>
    <r>
      <rPr>
        <sz val="11"/>
        <color indexed="8"/>
        <rFont val="宋体"/>
        <charset val="134"/>
      </rPr>
      <t xml:space="preserve">     其中：基</t>
    </r>
    <r>
      <rPr>
        <sz val="11"/>
        <color indexed="8"/>
        <rFont val="宋体"/>
        <charset val="134"/>
      </rPr>
      <t>础</t>
    </r>
    <r>
      <rPr>
        <sz val="11"/>
        <color indexed="8"/>
        <rFont val="宋体"/>
        <charset val="134"/>
      </rPr>
      <t>养老金支出</t>
    </r>
  </si>
  <si>
    <r>
      <rPr>
        <sz val="11"/>
        <color indexed="8"/>
        <rFont val="宋体"/>
        <charset val="134"/>
      </rPr>
      <t xml:space="preserve">           个人账户养老金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</si>
  <si>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丧葬补助金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</si>
  <si>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其他</t>
    </r>
    <r>
      <rPr>
        <sz val="11"/>
        <color indexed="8"/>
        <rFont val="宋体"/>
        <charset val="134"/>
      </rPr>
      <t>支出</t>
    </r>
  </si>
  <si>
    <r>
      <rPr>
        <sz val="11"/>
        <color indexed="8"/>
        <rFont val="宋体"/>
        <charset val="134"/>
      </rPr>
      <t xml:space="preserve">           转移</t>
    </r>
    <r>
      <rPr>
        <sz val="11"/>
        <color indexed="8"/>
        <rFont val="宋体"/>
        <charset val="134"/>
      </rPr>
      <t>支出</t>
    </r>
  </si>
  <si>
    <t>二、机关事业单位基本养老保险基金支出</t>
  </si>
  <si>
    <t xml:space="preserve">     其中：基本养老金支出</t>
  </si>
  <si>
    <t>支出合计</t>
  </si>
</sst>
</file>

<file path=xl/styles.xml><?xml version="1.0" encoding="utf-8"?>
<styleSheet xmlns="http://schemas.openxmlformats.org/spreadsheetml/2006/main">
  <numFmts count="11">
    <numFmt numFmtId="176" formatCode="_ * #,##0.00_ ;_ * \-#,##0.0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_ "/>
    <numFmt numFmtId="178" formatCode="0_ 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#,##0.00_ "/>
    <numFmt numFmtId="181" formatCode="0.00;[Red]0.00"/>
    <numFmt numFmtId="182" formatCode="#,##0_);[Red]\(#,##0\)"/>
  </numFmts>
  <fonts count="5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华文中宋"/>
      <charset val="134"/>
    </font>
    <font>
      <b/>
      <sz val="10"/>
      <name val="Arial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8"/>
      <name val="华文中宋"/>
      <charset val="134"/>
    </font>
    <font>
      <sz val="18"/>
      <name val="黑体"/>
      <charset val="134"/>
    </font>
    <font>
      <sz val="10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0"/>
      <name val="Calibri"/>
      <charset val="134"/>
    </font>
    <font>
      <b/>
      <sz val="10"/>
      <name val="宋体"/>
      <charset val="0"/>
    </font>
    <font>
      <sz val="11"/>
      <name val="宋体"/>
      <charset val="134"/>
      <scheme val="minor"/>
    </font>
    <font>
      <b/>
      <sz val="12"/>
      <name val="黑体"/>
      <charset val="134"/>
    </font>
    <font>
      <sz val="8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3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" fillId="0" borderId="0"/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7" fillId="27" borderId="27" applyNumberFormat="0" applyAlignment="0" applyProtection="0">
      <alignment vertical="center"/>
    </xf>
    <xf numFmtId="0" fontId="48" fillId="27" borderId="21" applyNumberFormat="0" applyAlignment="0" applyProtection="0">
      <alignment vertical="center"/>
    </xf>
    <xf numFmtId="0" fontId="31" fillId="8" borderId="20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0" fillId="0" borderId="0"/>
    <xf numFmtId="0" fontId="30" fillId="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38" fillId="0" borderId="0"/>
    <xf numFmtId="0" fontId="1" fillId="0" borderId="0"/>
  </cellStyleXfs>
  <cellXfs count="3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11" applyFont="1" applyFill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0" fontId="7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2" xfId="56" applyFont="1" applyFill="1" applyBorder="1" applyAlignment="1" applyProtection="1">
      <alignment horizontal="center" vertical="center" wrapText="1"/>
      <protection locked="0"/>
    </xf>
    <xf numFmtId="0" fontId="8" fillId="0" borderId="1" xfId="11" applyFont="1" applyFill="1" applyBorder="1" applyAlignment="1">
      <alignment horizontal="center" vertical="center"/>
    </xf>
    <xf numFmtId="0" fontId="7" fillId="0" borderId="3" xfId="56" applyNumberFormat="1" applyFont="1" applyFill="1" applyBorder="1" applyAlignment="1" applyProtection="1">
      <alignment horizontal="center" vertical="center" wrapText="1"/>
      <protection locked="0"/>
    </xf>
    <xf numFmtId="10" fontId="7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6" applyNumberFormat="1" applyFont="1" applyFill="1" applyBorder="1" applyAlignment="1" applyProtection="1">
      <alignment horizontal="center" vertical="center" wrapText="1"/>
      <protection locked="0"/>
    </xf>
    <xf numFmtId="10" fontId="7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/>
    </xf>
    <xf numFmtId="10" fontId="6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5" xfId="56" applyFont="1" applyFill="1" applyBorder="1" applyAlignment="1" applyProtection="1">
      <alignment horizontal="center" vertical="center"/>
      <protection locked="0"/>
    </xf>
    <xf numFmtId="177" fontId="10" fillId="0" borderId="5" xfId="56" applyNumberFormat="1" applyFont="1" applyFill="1" applyBorder="1" applyAlignment="1" applyProtection="1">
      <alignment horizontal="center" vertical="center"/>
      <protection locked="0"/>
    </xf>
    <xf numFmtId="0" fontId="10" fillId="0" borderId="5" xfId="56" applyNumberFormat="1" applyFont="1" applyFill="1" applyBorder="1" applyAlignment="1" applyProtection="1">
      <alignment horizontal="center" vertical="center"/>
      <protection locked="0"/>
    </xf>
    <xf numFmtId="0" fontId="6" fillId="0" borderId="5" xfId="56" applyFont="1" applyFill="1" applyBorder="1" applyAlignment="1" applyProtection="1">
      <alignment horizontal="center" vertical="center"/>
      <protection locked="0"/>
    </xf>
    <xf numFmtId="0" fontId="6" fillId="0" borderId="0" xfId="53" applyFont="1" applyFill="1" applyAlignment="1">
      <alignment horizontal="center" vertical="center"/>
    </xf>
    <xf numFmtId="0" fontId="10" fillId="0" borderId="0" xfId="56" applyFont="1" applyFill="1" applyAlignment="1">
      <alignment horizontal="center" vertical="center"/>
    </xf>
    <xf numFmtId="0" fontId="7" fillId="0" borderId="5" xfId="56" applyFont="1" applyFill="1" applyBorder="1" applyAlignment="1" applyProtection="1">
      <alignment horizontal="center" vertical="center" wrapText="1"/>
      <protection locked="0"/>
    </xf>
    <xf numFmtId="0" fontId="7" fillId="0" borderId="5" xfId="56" applyNumberFormat="1" applyFont="1" applyFill="1" applyBorder="1" applyAlignment="1" applyProtection="1">
      <alignment horizontal="center" vertical="center" wrapText="1"/>
      <protection locked="0"/>
    </xf>
    <xf numFmtId="10" fontId="7" fillId="0" borderId="5" xfId="56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55" applyNumberFormat="1" applyFont="1" applyFill="1" applyBorder="1" applyAlignment="1">
      <alignment horizontal="center" vertical="center"/>
    </xf>
    <xf numFmtId="10" fontId="6" fillId="0" borderId="5" xfId="12" applyNumberFormat="1" applyFont="1" applyFill="1" applyBorder="1" applyAlignment="1" applyProtection="1">
      <alignment horizontal="center" vertical="center"/>
    </xf>
    <xf numFmtId="180" fontId="6" fillId="0" borderId="5" xfId="55" applyNumberFormat="1" applyFont="1" applyFill="1" applyBorder="1" applyAlignment="1">
      <alignment horizontal="center" vertical="center"/>
    </xf>
    <xf numFmtId="180" fontId="10" fillId="0" borderId="5" xfId="56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4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1" fontId="5" fillId="0" borderId="0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41" fontId="7" fillId="0" borderId="5" xfId="0" applyNumberFormat="1" applyFont="1" applyFill="1" applyBorder="1" applyAlignment="1" applyProtection="1">
      <alignment horizontal="center" vertical="center" wrapText="1"/>
    </xf>
    <xf numFmtId="41" fontId="7" fillId="0" borderId="3" xfId="0" applyNumberFormat="1" applyFont="1" applyFill="1" applyBorder="1" applyAlignment="1">
      <alignment horizontal="center" vertical="center" wrapText="1"/>
    </xf>
    <xf numFmtId="41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1" fontId="7" fillId="0" borderId="5" xfId="0" applyNumberFormat="1" applyFont="1" applyFill="1" applyBorder="1" applyAlignment="1" applyProtection="1">
      <alignment horizontal="right" vertical="center" wrapText="1"/>
    </xf>
    <xf numFmtId="0" fontId="7" fillId="0" borderId="5" xfId="0" applyNumberFormat="1" applyFont="1" applyFill="1" applyBorder="1" applyAlignment="1" applyProtection="1">
      <alignment horizontal="left" vertical="center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41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>
      <alignment vertical="center" wrapText="1"/>
    </xf>
    <xf numFmtId="41" fontId="6" fillId="0" borderId="5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41" fontId="7" fillId="0" borderId="5" xfId="0" applyNumberFormat="1" applyFont="1" applyFill="1" applyBorder="1" applyAlignment="1">
      <alignment horizontal="right" vertical="center" wrapText="1"/>
    </xf>
    <xf numFmtId="177" fontId="14" fillId="0" borderId="5" xfId="56" applyNumberFormat="1" applyFont="1" applyFill="1" applyBorder="1" applyAlignment="1" applyProtection="1">
      <alignment horizontal="right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41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177" fontId="14" fillId="0" borderId="5" xfId="56" applyNumberFormat="1" applyFont="1" applyFill="1" applyBorder="1" applyAlignment="1" applyProtection="1">
      <alignment horizontal="right" vertical="center"/>
      <protection locked="0"/>
    </xf>
    <xf numFmtId="0" fontId="10" fillId="0" borderId="5" xfId="0" applyFont="1" applyFill="1" applyBorder="1" applyAlignment="1">
      <alignment vertical="center" wrapText="1"/>
    </xf>
    <xf numFmtId="41" fontId="7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41" fontId="8" fillId="0" borderId="5" xfId="0" applyNumberFormat="1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right" vertical="center"/>
    </xf>
    <xf numFmtId="177" fontId="14" fillId="0" borderId="5" xfId="56" applyNumberFormat="1" applyFont="1" applyFill="1" applyBorder="1" applyAlignment="1" applyProtection="1">
      <alignment horizontal="right" vertical="center" shrinkToFit="1"/>
      <protection locked="0"/>
    </xf>
    <xf numFmtId="0" fontId="10" fillId="0" borderId="5" xfId="0" applyFont="1" applyFill="1" applyBorder="1" applyAlignment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vertical="center"/>
      <protection locked="0"/>
    </xf>
    <xf numFmtId="0" fontId="10" fillId="0" borderId="0" xfId="56" applyFont="1" applyFill="1" applyAlignment="1" applyProtection="1">
      <alignment vertical="center"/>
      <protection locked="0"/>
    </xf>
    <xf numFmtId="0" fontId="7" fillId="0" borderId="0" xfId="56" applyFont="1" applyFill="1" applyAlignment="1" applyProtection="1">
      <alignment vertical="center"/>
      <protection locked="0"/>
    </xf>
    <xf numFmtId="0" fontId="6" fillId="0" borderId="0" xfId="56" applyFont="1" applyFill="1" applyAlignment="1" applyProtection="1">
      <alignment vertical="center"/>
      <protection locked="0"/>
    </xf>
    <xf numFmtId="0" fontId="12" fillId="0" borderId="0" xfId="56" applyFont="1" applyFill="1" applyAlignment="1" applyProtection="1">
      <alignment vertical="center"/>
      <protection locked="0"/>
    </xf>
    <xf numFmtId="0" fontId="11" fillId="0" borderId="0" xfId="56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56" applyFont="1" applyFill="1" applyAlignment="1" applyProtection="1">
      <alignment horizontal="center" vertical="center" wrapText="1"/>
      <protection locked="0"/>
    </xf>
    <xf numFmtId="0" fontId="5" fillId="0" borderId="0" xfId="56" applyFont="1" applyFill="1" applyAlignment="1" applyProtection="1">
      <alignment horizontal="center" vertical="center"/>
      <protection locked="0"/>
    </xf>
    <xf numFmtId="0" fontId="10" fillId="0" borderId="0" xfId="56" applyFont="1" applyFill="1" applyAlignment="1" applyProtection="1">
      <alignment vertical="center" wrapText="1" shrinkToFit="1"/>
      <protection locked="0"/>
    </xf>
    <xf numFmtId="0" fontId="10" fillId="0" borderId="0" xfId="56" applyNumberFormat="1" applyFont="1" applyFill="1" applyAlignment="1" applyProtection="1">
      <alignment horizontal="center" vertical="center"/>
      <protection locked="0"/>
    </xf>
    <xf numFmtId="10" fontId="10" fillId="0" borderId="0" xfId="56" applyNumberFormat="1" applyFont="1" applyFill="1" applyAlignment="1" applyProtection="1">
      <alignment horizontal="center" vertical="center"/>
      <protection locked="0"/>
    </xf>
    <xf numFmtId="0" fontId="7" fillId="0" borderId="5" xfId="56" applyFont="1" applyFill="1" applyBorder="1" applyAlignment="1" applyProtection="1">
      <alignment horizontal="center" vertical="center" wrapText="1" shrinkToFit="1"/>
      <protection locked="0"/>
    </xf>
    <xf numFmtId="0" fontId="7" fillId="0" borderId="5" xfId="56" applyNumberFormat="1" applyFont="1" applyFill="1" applyBorder="1" applyAlignment="1">
      <alignment horizontal="center" vertical="center" wrapText="1"/>
    </xf>
    <xf numFmtId="3" fontId="7" fillId="0" borderId="5" xfId="56" applyNumberFormat="1" applyFont="1" applyFill="1" applyBorder="1" applyAlignment="1" applyProtection="1">
      <alignment vertical="center" wrapText="1" shrinkToFit="1"/>
      <protection locked="0"/>
    </xf>
    <xf numFmtId="177" fontId="7" fillId="0" borderId="5" xfId="56" applyNumberFormat="1" applyFont="1" applyFill="1" applyBorder="1" applyAlignment="1" applyProtection="1">
      <alignment horizontal="center" vertical="center" shrinkToFit="1"/>
    </xf>
    <xf numFmtId="10" fontId="7" fillId="0" borderId="5" xfId="12" applyNumberFormat="1" applyFont="1" applyFill="1" applyBorder="1" applyAlignment="1" applyProtection="1">
      <alignment horizontal="center" vertical="center" shrinkToFit="1"/>
    </xf>
    <xf numFmtId="10" fontId="7" fillId="0" borderId="5" xfId="12" applyNumberFormat="1" applyFont="1" applyFill="1" applyBorder="1" applyAlignment="1" applyProtection="1">
      <alignment horizontal="center" vertical="center"/>
    </xf>
    <xf numFmtId="3" fontId="6" fillId="0" borderId="5" xfId="56" applyNumberFormat="1" applyFont="1" applyFill="1" applyBorder="1" applyAlignment="1" applyProtection="1">
      <alignment horizontal="left" vertical="center" wrapText="1" shrinkToFit="1"/>
      <protection locked="0"/>
    </xf>
    <xf numFmtId="177" fontId="6" fillId="0" borderId="5" xfId="56" applyNumberFormat="1" applyFont="1" applyFill="1" applyBorder="1" applyAlignment="1" applyProtection="1">
      <alignment horizontal="center" vertical="center"/>
      <protection locked="0"/>
    </xf>
    <xf numFmtId="10" fontId="6" fillId="0" borderId="5" xfId="12" applyNumberFormat="1" applyFont="1" applyFill="1" applyBorder="1" applyAlignment="1" applyProtection="1">
      <alignment horizontal="center" vertical="center" shrinkToFit="1"/>
    </xf>
    <xf numFmtId="177" fontId="6" fillId="0" borderId="5" xfId="56" applyNumberFormat="1" applyFont="1" applyFill="1" applyBorder="1" applyAlignment="1" applyProtection="1">
      <alignment horizontal="center" vertical="center" shrinkToFit="1"/>
    </xf>
    <xf numFmtId="0" fontId="6" fillId="0" borderId="5" xfId="56" applyFont="1" applyFill="1" applyBorder="1" applyAlignment="1" applyProtection="1">
      <alignment horizontal="left" vertical="center" wrapText="1" shrinkToFit="1"/>
      <protection locked="0"/>
    </xf>
    <xf numFmtId="177" fontId="6" fillId="0" borderId="5" xfId="56" applyNumberFormat="1" applyFont="1" applyFill="1" applyBorder="1" applyAlignment="1" applyProtection="1">
      <alignment horizontal="center" vertical="center" shrinkToFit="1"/>
      <protection locked="0"/>
    </xf>
    <xf numFmtId="177" fontId="7" fillId="0" borderId="5" xfId="56" applyNumberFormat="1" applyFont="1" applyFill="1" applyBorder="1" applyAlignment="1" applyProtection="1">
      <alignment horizontal="center" vertical="center" shrinkToFit="1"/>
      <protection locked="0"/>
    </xf>
    <xf numFmtId="177" fontId="6" fillId="0" borderId="5" xfId="56" applyNumberFormat="1" applyFont="1" applyFill="1" applyBorder="1" applyAlignment="1" applyProtection="1">
      <alignment horizontal="right" vertical="center" wrapText="1"/>
      <protection locked="0"/>
    </xf>
    <xf numFmtId="177" fontId="6" fillId="0" borderId="5" xfId="56" applyNumberFormat="1" applyFont="1" applyFill="1" applyBorder="1" applyAlignment="1" applyProtection="1">
      <alignment horizontal="center" vertical="center" wrapText="1"/>
      <protection locked="0"/>
    </xf>
    <xf numFmtId="3" fontId="6" fillId="0" borderId="5" xfId="56" applyNumberFormat="1" applyFont="1" applyFill="1" applyBorder="1" applyAlignment="1" applyProtection="1">
      <alignment vertical="center" wrapText="1" shrinkToFit="1"/>
      <protection locked="0"/>
    </xf>
    <xf numFmtId="0" fontId="6" fillId="0" borderId="5" xfId="56" applyFont="1" applyFill="1" applyBorder="1" applyAlignment="1" applyProtection="1">
      <alignment horizontal="center" vertical="center" wrapText="1" shrinkToFit="1"/>
      <protection locked="0"/>
    </xf>
    <xf numFmtId="3" fontId="7" fillId="0" borderId="5" xfId="56" applyNumberFormat="1" applyFont="1" applyFill="1" applyBorder="1" applyAlignment="1" applyProtection="1">
      <alignment horizontal="left" vertical="center" wrapText="1" shrinkToFit="1"/>
      <protection locked="0"/>
    </xf>
    <xf numFmtId="0" fontId="6" fillId="0" borderId="5" xfId="0" applyFont="1" applyFill="1" applyBorder="1" applyAlignment="1">
      <alignment horizontal="left" vertical="center" wrapText="1"/>
    </xf>
    <xf numFmtId="0" fontId="7" fillId="0" borderId="5" xfId="56" applyFont="1" applyFill="1" applyBorder="1" applyAlignment="1" applyProtection="1">
      <alignment horizontal="left" vertical="center" wrapText="1" shrinkToFit="1"/>
      <protection locked="0"/>
    </xf>
    <xf numFmtId="177" fontId="6" fillId="0" borderId="5" xfId="56" applyNumberFormat="1" applyFont="1" applyFill="1" applyBorder="1" applyAlignment="1" applyProtection="1">
      <alignment horizontal="center" vertical="center" wrapText="1"/>
    </xf>
    <xf numFmtId="0" fontId="7" fillId="0" borderId="5" xfId="56" applyFont="1" applyFill="1" applyBorder="1" applyAlignment="1" applyProtection="1">
      <alignment vertical="center" wrapText="1" shrinkToFit="1"/>
      <protection locked="0"/>
    </xf>
    <xf numFmtId="0" fontId="6" fillId="0" borderId="5" xfId="56" applyFont="1" applyFill="1" applyBorder="1" applyAlignment="1" applyProtection="1">
      <alignment vertical="center" wrapText="1" shrinkToFit="1"/>
      <protection locked="0"/>
    </xf>
    <xf numFmtId="177" fontId="6" fillId="0" borderId="0" xfId="56" applyNumberFormat="1" applyFont="1" applyFill="1" applyAlignment="1" applyProtection="1">
      <alignment vertical="center"/>
      <protection locked="0"/>
    </xf>
    <xf numFmtId="10" fontId="12" fillId="0" borderId="0" xfId="56" applyNumberFormat="1" applyFont="1" applyFill="1" applyAlignment="1" applyProtection="1">
      <alignment horizontal="center" vertical="center"/>
      <protection locked="0"/>
    </xf>
    <xf numFmtId="0" fontId="11" fillId="0" borderId="2" xfId="56" applyFont="1" applyFill="1" applyBorder="1" applyAlignment="1" applyProtection="1">
      <alignment horizontal="center" vertical="center" wrapText="1"/>
      <protection locked="0"/>
    </xf>
    <xf numFmtId="0" fontId="11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5" xfId="56" applyFont="1" applyFill="1" applyBorder="1" applyAlignment="1" applyProtection="1">
      <alignment vertical="center"/>
      <protection locked="0"/>
    </xf>
    <xf numFmtId="0" fontId="7" fillId="0" borderId="5" xfId="56" applyFont="1" applyFill="1" applyBorder="1" applyAlignment="1">
      <alignment horizontal="center" vertical="center" wrapText="1"/>
    </xf>
    <xf numFmtId="10" fontId="11" fillId="0" borderId="5" xfId="12" applyNumberFormat="1" applyFont="1" applyFill="1" applyBorder="1" applyAlignment="1" applyProtection="1">
      <alignment horizontal="center" vertical="center" shrinkToFit="1"/>
      <protection locked="0"/>
    </xf>
    <xf numFmtId="10" fontId="7" fillId="0" borderId="5" xfId="12" applyNumberFormat="1" applyFont="1" applyFill="1" applyBorder="1" applyAlignment="1" applyProtection="1">
      <alignment horizontal="center" vertical="center" shrinkToFit="1"/>
      <protection locked="0"/>
    </xf>
    <xf numFmtId="178" fontId="7" fillId="0" borderId="0" xfId="56" applyNumberFormat="1" applyFont="1" applyFill="1" applyAlignment="1" applyProtection="1">
      <alignment vertical="center"/>
      <protection locked="0"/>
    </xf>
    <xf numFmtId="10" fontId="6" fillId="0" borderId="5" xfId="12" applyNumberFormat="1" applyFont="1" applyFill="1" applyBorder="1" applyAlignment="1" applyProtection="1">
      <alignment horizontal="center" vertical="center" shrinkToFit="1"/>
      <protection locked="0"/>
    </xf>
    <xf numFmtId="178" fontId="6" fillId="0" borderId="0" xfId="56" applyNumberFormat="1" applyFont="1" applyFill="1" applyAlignment="1" applyProtection="1">
      <alignment vertical="center"/>
      <protection locked="0"/>
    </xf>
    <xf numFmtId="178" fontId="12" fillId="0" borderId="0" xfId="56" applyNumberFormat="1" applyFont="1" applyFill="1" applyAlignment="1" applyProtection="1">
      <alignment vertical="center"/>
      <protection locked="0"/>
    </xf>
    <xf numFmtId="0" fontId="7" fillId="0" borderId="5" xfId="56" applyFont="1" applyFill="1" applyBorder="1" applyAlignment="1" applyProtection="1">
      <alignment horizontal="distributed" vertical="center" wrapText="1" shrinkToFit="1"/>
      <protection locked="0"/>
    </xf>
    <xf numFmtId="0" fontId="7" fillId="0" borderId="0" xfId="56" applyFont="1" applyFill="1" applyBorder="1" applyAlignment="1" applyProtection="1">
      <alignment horizontal="center" vertical="center" wrapText="1" shrinkToFit="1"/>
      <protection locked="0"/>
    </xf>
    <xf numFmtId="177" fontId="10" fillId="0" borderId="0" xfId="56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56" applyNumberFormat="1" applyFont="1" applyFill="1" applyBorder="1" applyAlignment="1">
      <alignment horizontal="center" vertical="center" wrapText="1"/>
    </xf>
    <xf numFmtId="177" fontId="10" fillId="0" borderId="0" xfId="56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10" fontId="12" fillId="0" borderId="0" xfId="12" applyNumberFormat="1" applyFont="1" applyFill="1" applyBorder="1" applyAlignment="1" applyProtection="1">
      <alignment horizontal="center" vertical="center" wrapText="1"/>
    </xf>
    <xf numFmtId="178" fontId="10" fillId="0" borderId="0" xfId="56" applyNumberFormat="1" applyFont="1" applyFill="1" applyAlignment="1" applyProtection="1">
      <alignment vertical="center"/>
      <protection locked="0"/>
    </xf>
    <xf numFmtId="10" fontId="12" fillId="0" borderId="0" xfId="12" applyNumberFormat="1" applyFont="1" applyFill="1" applyBorder="1" applyAlignment="1" applyProtection="1">
      <alignment horizontal="center" vertical="center"/>
      <protection locked="0"/>
    </xf>
    <xf numFmtId="0" fontId="8" fillId="0" borderId="0" xfId="56" applyNumberFormat="1" applyFont="1" applyFill="1" applyAlignment="1" applyProtection="1">
      <alignment horizontal="center" vertical="center"/>
      <protection locked="0"/>
    </xf>
    <xf numFmtId="0" fontId="16" fillId="0" borderId="0" xfId="56" applyFont="1" applyFill="1" applyAlignment="1" applyProtection="1">
      <alignment vertical="center"/>
      <protection locked="0"/>
    </xf>
    <xf numFmtId="0" fontId="8" fillId="0" borderId="5" xfId="56" applyFont="1" applyFill="1" applyBorder="1" applyAlignment="1" applyProtection="1">
      <alignment horizontal="center" vertical="center"/>
      <protection locked="0"/>
    </xf>
    <xf numFmtId="0" fontId="8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6" applyFont="1" applyFill="1" applyBorder="1" applyAlignment="1">
      <alignment horizontal="center" vertical="center" wrapText="1"/>
    </xf>
    <xf numFmtId="10" fontId="8" fillId="0" borderId="5" xfId="56" applyNumberFormat="1" applyFont="1" applyFill="1" applyBorder="1" applyAlignment="1" applyProtection="1">
      <alignment horizontal="center" vertical="center" wrapText="1"/>
      <protection locked="0"/>
    </xf>
    <xf numFmtId="10" fontId="8" fillId="0" borderId="5" xfId="56" applyNumberFormat="1" applyFont="1" applyFill="1" applyBorder="1" applyAlignment="1">
      <alignment horizontal="center" vertical="center" wrapText="1"/>
    </xf>
    <xf numFmtId="0" fontId="8" fillId="0" borderId="5" xfId="56" applyFont="1" applyFill="1" applyBorder="1" applyAlignment="1" applyProtection="1">
      <alignment horizontal="center" vertical="center" wrapText="1"/>
      <protection locked="0"/>
    </xf>
    <xf numFmtId="0" fontId="8" fillId="0" borderId="5" xfId="56" applyNumberFormat="1" applyFont="1" applyFill="1" applyBorder="1" applyAlignment="1">
      <alignment horizontal="center" vertical="center" wrapText="1"/>
    </xf>
    <xf numFmtId="3" fontId="10" fillId="0" borderId="5" xfId="56" applyNumberFormat="1" applyFont="1" applyFill="1" applyBorder="1" applyAlignment="1" applyProtection="1">
      <alignment vertical="center" shrinkToFit="1"/>
      <protection locked="0"/>
    </xf>
    <xf numFmtId="10" fontId="10" fillId="0" borderId="5" xfId="56" applyNumberFormat="1" applyFont="1" applyFill="1" applyBorder="1" applyAlignment="1">
      <alignment horizontal="center" vertical="center"/>
    </xf>
    <xf numFmtId="177" fontId="10" fillId="0" borderId="5" xfId="56" applyNumberFormat="1" applyFont="1" applyFill="1" applyBorder="1" applyAlignment="1" applyProtection="1">
      <alignment horizontal="right" vertical="center" wrapText="1"/>
      <protection locked="0"/>
    </xf>
    <xf numFmtId="177" fontId="6" fillId="0" borderId="5" xfId="41" applyNumberFormat="1" applyFont="1" applyFill="1" applyBorder="1" applyAlignment="1">
      <alignment horizontal="right" vertical="center" wrapText="1"/>
    </xf>
    <xf numFmtId="177" fontId="10" fillId="0" borderId="5" xfId="56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41" applyNumberFormat="1" applyFont="1" applyFill="1" applyBorder="1" applyAlignment="1">
      <alignment horizontal="right" vertical="center"/>
    </xf>
    <xf numFmtId="0" fontId="10" fillId="0" borderId="5" xfId="56" applyFont="1" applyFill="1" applyBorder="1" applyAlignment="1" applyProtection="1">
      <alignment vertical="center" shrinkToFit="1"/>
      <protection locked="0"/>
    </xf>
    <xf numFmtId="177" fontId="10" fillId="0" borderId="5" xfId="56" applyNumberFormat="1" applyFont="1" applyFill="1" applyBorder="1" applyAlignment="1" applyProtection="1">
      <alignment horizontal="right" vertical="center"/>
      <protection locked="0"/>
    </xf>
    <xf numFmtId="0" fontId="8" fillId="0" borderId="5" xfId="56" applyFont="1" applyFill="1" applyBorder="1" applyAlignment="1" applyProtection="1">
      <alignment horizontal="center" vertical="center" shrinkToFit="1"/>
      <protection locked="0"/>
    </xf>
    <xf numFmtId="177" fontId="8" fillId="0" borderId="5" xfId="56" applyNumberFormat="1" applyFont="1" applyFill="1" applyBorder="1" applyAlignment="1" applyProtection="1">
      <alignment horizontal="center" vertical="center"/>
      <protection locked="0"/>
    </xf>
    <xf numFmtId="0" fontId="8" fillId="0" borderId="5" xfId="56" applyFont="1" applyFill="1" applyBorder="1" applyAlignment="1" applyProtection="1">
      <alignment vertical="center" shrinkToFit="1"/>
      <protection locked="0"/>
    </xf>
    <xf numFmtId="0" fontId="8" fillId="0" borderId="5" xfId="56" applyNumberFormat="1" applyFont="1" applyFill="1" applyBorder="1" applyAlignment="1" applyProtection="1">
      <alignment horizontal="center" vertical="center"/>
      <protection locked="0"/>
    </xf>
    <xf numFmtId="0" fontId="10" fillId="0" borderId="0" xfId="56" applyFont="1" applyFill="1" applyAlignment="1" applyProtection="1">
      <alignment horizontal="right" vertical="center"/>
      <protection locked="0"/>
    </xf>
    <xf numFmtId="0" fontId="8" fillId="0" borderId="5" xfId="56" applyFont="1" applyFill="1" applyBorder="1" applyAlignment="1" applyProtection="1">
      <alignment horizontal="distributed" vertical="center" shrinkToFit="1"/>
      <protection locked="0"/>
    </xf>
    <xf numFmtId="180" fontId="10" fillId="0" borderId="0" xfId="56" applyNumberFormat="1" applyFont="1" applyFill="1" applyAlignment="1" applyProtection="1">
      <alignment horizontal="center" vertical="center"/>
      <protection locked="0"/>
    </xf>
    <xf numFmtId="180" fontId="8" fillId="0" borderId="5" xfId="56" applyNumberFormat="1" applyFont="1" applyFill="1" applyBorder="1" applyAlignment="1" applyProtection="1">
      <alignment horizontal="center" vertical="center"/>
      <protection locked="0"/>
    </xf>
    <xf numFmtId="180" fontId="8" fillId="0" borderId="5" xfId="56" applyNumberFormat="1" applyFont="1" applyFill="1" applyBorder="1" applyAlignment="1" applyProtection="1">
      <alignment horizontal="center" vertical="center" wrapText="1"/>
      <protection locked="0"/>
    </xf>
    <xf numFmtId="180" fontId="8" fillId="0" borderId="5" xfId="56" applyNumberFormat="1" applyFont="1" applyFill="1" applyBorder="1" applyAlignment="1">
      <alignment horizontal="center" vertical="center" wrapText="1"/>
    </xf>
    <xf numFmtId="180" fontId="10" fillId="0" borderId="5" xfId="56" applyNumberFormat="1" applyFont="1" applyFill="1" applyBorder="1" applyAlignment="1" applyProtection="1">
      <alignment horizontal="center" vertical="center" wrapText="1"/>
      <protection locked="0"/>
    </xf>
    <xf numFmtId="10" fontId="10" fillId="0" borderId="5" xfId="12" applyNumberFormat="1" applyFont="1" applyFill="1" applyBorder="1" applyAlignment="1" applyProtection="1">
      <alignment horizontal="center" vertical="center" wrapText="1"/>
      <protection locked="0"/>
    </xf>
    <xf numFmtId="10" fontId="8" fillId="0" borderId="5" xfId="56" applyNumberFormat="1" applyFont="1" applyFill="1" applyBorder="1" applyAlignment="1">
      <alignment horizontal="center" vertical="center"/>
    </xf>
    <xf numFmtId="0" fontId="10" fillId="0" borderId="0" xfId="56" applyFont="1" applyFill="1" applyAlignment="1" applyProtection="1">
      <alignment horizontal="center" vertical="center"/>
      <protection locked="0"/>
    </xf>
    <xf numFmtId="180" fontId="1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17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5" fillId="0" borderId="0" xfId="54" applyFont="1" applyFill="1" applyAlignment="1">
      <alignment horizontal="center" vertical="center"/>
    </xf>
    <xf numFmtId="0" fontId="17" fillId="0" borderId="0" xfId="0" applyNumberFormat="1" applyFont="1" applyFill="1" applyBorder="1" applyAlignment="1" applyProtection="1"/>
    <xf numFmtId="0" fontId="11" fillId="0" borderId="7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179" fontId="11" fillId="0" borderId="12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vertical="center"/>
    </xf>
    <xf numFmtId="0" fontId="11" fillId="0" borderId="7" xfId="0" applyNumberFormat="1" applyFont="1" applyFill="1" applyBorder="1" applyAlignment="1" applyProtection="1">
      <alignment vertical="center" wrapText="1"/>
    </xf>
    <xf numFmtId="179" fontId="11" fillId="0" borderId="7" xfId="0" applyNumberFormat="1" applyFont="1" applyFill="1" applyBorder="1" applyAlignment="1" applyProtection="1">
      <alignment horizontal="center" vertical="center" wrapText="1"/>
    </xf>
    <xf numFmtId="179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vertical="center"/>
    </xf>
    <xf numFmtId="0" fontId="12" fillId="0" borderId="7" xfId="0" applyNumberFormat="1" applyFont="1" applyFill="1" applyBorder="1" applyAlignment="1" applyProtection="1">
      <alignment vertical="center" wrapText="1"/>
    </xf>
    <xf numFmtId="181" fontId="11" fillId="0" borderId="7" xfId="0" applyNumberFormat="1" applyFont="1" applyFill="1" applyBorder="1" applyAlignment="1" applyProtection="1">
      <alignment horizontal="right" vertical="center"/>
    </xf>
    <xf numFmtId="181" fontId="12" fillId="0" borderId="7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181" fontId="11" fillId="0" borderId="7" xfId="0" applyNumberFormat="1" applyFont="1" applyFill="1" applyBorder="1" applyAlignment="1" applyProtection="1">
      <alignment horizontal="left" vertical="center" wrapText="1"/>
    </xf>
    <xf numFmtId="181" fontId="12" fillId="0" borderId="7" xfId="0" applyNumberFormat="1" applyFont="1" applyFill="1" applyBorder="1" applyAlignment="1" applyProtection="1">
      <alignment horizontal="center" vertical="center"/>
    </xf>
    <xf numFmtId="181" fontId="12" fillId="0" borderId="7" xfId="0" applyNumberFormat="1" applyFont="1" applyFill="1" applyBorder="1" applyAlignment="1" applyProtection="1">
      <alignment horizontal="left" vertical="center" wrapText="1"/>
    </xf>
    <xf numFmtId="179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181" fontId="11" fillId="0" borderId="7" xfId="0" applyNumberFormat="1" applyFont="1" applyFill="1" applyBorder="1" applyAlignment="1" applyProtection="1">
      <alignment horizontal="center" vertical="center"/>
    </xf>
    <xf numFmtId="0" fontId="11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right" vertical="center"/>
    </xf>
    <xf numFmtId="179" fontId="21" fillId="0" borderId="7" xfId="0" applyNumberFormat="1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2" borderId="7" xfId="0" applyNumberFormat="1" applyFont="1" applyFill="1" applyBorder="1" applyAlignment="1" applyProtection="1">
      <alignment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>
      <alignment wrapText="1"/>
    </xf>
    <xf numFmtId="179" fontId="11" fillId="0" borderId="11" xfId="0" applyNumberFormat="1" applyFont="1" applyFill="1" applyBorder="1" applyAlignment="1" applyProtection="1">
      <alignment horizontal="center" vertical="center" wrapText="1"/>
    </xf>
    <xf numFmtId="181" fontId="11" fillId="0" borderId="11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left"/>
    </xf>
    <xf numFmtId="0" fontId="11" fillId="0" borderId="5" xfId="0" applyNumberFormat="1" applyFont="1" applyFill="1" applyBorder="1" applyAlignment="1" applyProtection="1">
      <alignment wrapText="1"/>
    </xf>
    <xf numFmtId="179" fontId="11" fillId="0" borderId="5" xfId="0" applyNumberFormat="1" applyFont="1" applyFill="1" applyBorder="1" applyAlignment="1" applyProtection="1">
      <alignment horizontal="center" vertical="center" wrapText="1"/>
    </xf>
    <xf numFmtId="181" fontId="11" fillId="0" borderId="5" xfId="0" applyNumberFormat="1" applyFont="1" applyFill="1" applyBorder="1" applyAlignment="1" applyProtection="1">
      <alignment horizontal="right" vertical="center"/>
    </xf>
    <xf numFmtId="0" fontId="12" fillId="0" borderId="5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" fillId="0" borderId="0" xfId="54" applyFont="1" applyFill="1" applyAlignment="1">
      <alignment horizontal="center"/>
    </xf>
    <xf numFmtId="0" fontId="10" fillId="0" borderId="0" xfId="54" applyFont="1" applyFill="1" applyAlignment="1">
      <alignment horizontal="center" vertical="center"/>
    </xf>
    <xf numFmtId="0" fontId="10" fillId="0" borderId="15" xfId="54" applyFont="1" applyFill="1" applyBorder="1" applyAlignment="1">
      <alignment horizontal="center"/>
    </xf>
    <xf numFmtId="0" fontId="23" fillId="0" borderId="3" xfId="54" applyFont="1" applyFill="1" applyBorder="1" applyAlignment="1">
      <alignment horizontal="left" vertical="center"/>
    </xf>
    <xf numFmtId="0" fontId="8" fillId="0" borderId="3" xfId="54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8" fillId="0" borderId="6" xfId="54" applyFont="1" applyFill="1" applyBorder="1" applyAlignment="1">
      <alignment horizontal="center" vertical="center" wrapText="1"/>
    </xf>
    <xf numFmtId="0" fontId="8" fillId="0" borderId="16" xfId="54" applyFont="1" applyFill="1" applyBorder="1" applyAlignment="1">
      <alignment horizontal="center" vertical="center" wrapText="1"/>
    </xf>
    <xf numFmtId="0" fontId="23" fillId="0" borderId="4" xfId="54" applyFont="1" applyFill="1" applyBorder="1" applyAlignment="1">
      <alignment horizontal="left" vertical="center"/>
    </xf>
    <xf numFmtId="0" fontId="10" fillId="0" borderId="4" xfId="54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7" fillId="0" borderId="4" xfId="54" applyFont="1" applyFill="1" applyBorder="1" applyAlignment="1">
      <alignment horizontal="left" vertical="center"/>
    </xf>
    <xf numFmtId="41" fontId="7" fillId="0" borderId="17" xfId="54" applyNumberFormat="1" applyFont="1" applyFill="1" applyBorder="1" applyAlignment="1">
      <alignment horizontal="center" vertical="center"/>
    </xf>
    <xf numFmtId="41" fontId="6" fillId="0" borderId="17" xfId="54" applyNumberFormat="1" applyFont="1" applyFill="1" applyBorder="1" applyAlignment="1">
      <alignment horizontal="center" vertical="center"/>
    </xf>
    <xf numFmtId="10" fontId="6" fillId="0" borderId="17" xfId="54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left"/>
    </xf>
    <xf numFmtId="41" fontId="6" fillId="0" borderId="5" xfId="54" applyNumberFormat="1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left"/>
    </xf>
    <xf numFmtId="9" fontId="6" fillId="0" borderId="5" xfId="54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left" vertical="center"/>
    </xf>
    <xf numFmtId="0" fontId="24" fillId="0" borderId="5" xfId="54" applyFont="1" applyFill="1" applyBorder="1" applyAlignment="1">
      <alignment horizontal="left"/>
    </xf>
    <xf numFmtId="41" fontId="25" fillId="0" borderId="5" xfId="54" applyNumberFormat="1" applyFont="1" applyFill="1" applyBorder="1" applyAlignment="1">
      <alignment horizontal="center" vertical="center"/>
    </xf>
    <xf numFmtId="41" fontId="25" fillId="0" borderId="5" xfId="0" applyNumberFormat="1" applyFont="1" applyFill="1" applyBorder="1" applyAlignment="1">
      <alignment horizontal="center" vertical="center"/>
    </xf>
    <xf numFmtId="178" fontId="26" fillId="0" borderId="5" xfId="0" applyNumberFormat="1" applyFont="1" applyFill="1" applyBorder="1" applyAlignment="1">
      <alignment horizontal="center" vertical="center" shrinkToFit="1"/>
    </xf>
    <xf numFmtId="41" fontId="25" fillId="0" borderId="5" xfId="0" applyNumberFormat="1" applyFont="1" applyFill="1" applyBorder="1" applyAlignment="1">
      <alignment horizontal="center" vertical="center" wrapText="1" shrinkToFit="1"/>
    </xf>
    <xf numFmtId="182" fontId="25" fillId="0" borderId="5" xfId="0" applyNumberFormat="1" applyFont="1" applyFill="1" applyBorder="1" applyAlignment="1">
      <alignment horizontal="center" vertical="center" wrapText="1" shrinkToFit="1"/>
    </xf>
    <xf numFmtId="182" fontId="26" fillId="0" borderId="5" xfId="0" applyNumberFormat="1" applyFont="1" applyFill="1" applyBorder="1" applyAlignment="1">
      <alignment horizontal="center" vertical="center" wrapText="1" shrinkToFit="1"/>
    </xf>
    <xf numFmtId="41" fontId="26" fillId="0" borderId="5" xfId="0" applyNumberFormat="1" applyFont="1" applyFill="1" applyBorder="1" applyAlignment="1">
      <alignment horizontal="center" vertical="center" shrinkToFit="1"/>
    </xf>
    <xf numFmtId="0" fontId="7" fillId="0" borderId="5" xfId="54" applyFont="1" applyFill="1" applyBorder="1" applyAlignment="1">
      <alignment horizontal="left" vertical="center"/>
    </xf>
    <xf numFmtId="41" fontId="7" fillId="0" borderId="5" xfId="54" applyNumberFormat="1" applyFont="1" applyFill="1" applyBorder="1" applyAlignment="1">
      <alignment horizontal="center" vertical="center"/>
    </xf>
    <xf numFmtId="41" fontId="10" fillId="0" borderId="5" xfId="0" applyNumberFormat="1" applyFont="1" applyFill="1" applyBorder="1" applyAlignment="1">
      <alignment horizontal="center" vertical="center" wrapText="1"/>
    </xf>
    <xf numFmtId="41" fontId="6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left"/>
    </xf>
    <xf numFmtId="0" fontId="7" fillId="0" borderId="5" xfId="54" applyFont="1" applyFill="1" applyBorder="1" applyAlignment="1">
      <alignment horizontal="left"/>
    </xf>
    <xf numFmtId="1" fontId="7" fillId="0" borderId="5" xfId="54" applyNumberFormat="1" applyFont="1" applyFill="1" applyBorder="1" applyAlignment="1">
      <alignment horizontal="left" vertical="center"/>
    </xf>
    <xf numFmtId="1" fontId="6" fillId="0" borderId="5" xfId="54" applyNumberFormat="1" applyFont="1" applyFill="1" applyBorder="1" applyAlignment="1">
      <alignment horizontal="left" vertical="center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left"/>
    </xf>
    <xf numFmtId="41" fontId="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80" fontId="8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>
      <alignment horizontal="center" vertical="center"/>
    </xf>
    <xf numFmtId="41" fontId="7" fillId="0" borderId="5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 applyProtection="1">
      <alignment horizontal="center" vertical="center" wrapText="1"/>
    </xf>
    <xf numFmtId="10" fontId="6" fillId="0" borderId="5" xfId="12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horizontal="center"/>
    </xf>
    <xf numFmtId="177" fontId="10" fillId="0" borderId="5" xfId="0" applyNumberFormat="1" applyFont="1" applyFill="1" applyBorder="1" applyAlignment="1">
      <alignment horizontal="center"/>
    </xf>
    <xf numFmtId="9" fontId="6" fillId="0" borderId="5" xfId="12" applyFont="1" applyFill="1" applyBorder="1" applyAlignment="1">
      <alignment horizontal="center" vertical="center"/>
    </xf>
    <xf numFmtId="10" fontId="7" fillId="0" borderId="5" xfId="12" applyNumberFormat="1" applyFont="1" applyFill="1" applyBorder="1" applyAlignment="1">
      <alignment horizontal="center" vertical="center"/>
    </xf>
    <xf numFmtId="10" fontId="10" fillId="0" borderId="0" xfId="12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left" wrapText="1"/>
    </xf>
    <xf numFmtId="178" fontId="27" fillId="0" borderId="5" xfId="0" applyNumberFormat="1" applyFont="1" applyFill="1" applyBorder="1" applyAlignment="1">
      <alignment horizontal="center" shrinkToFit="1"/>
    </xf>
    <xf numFmtId="177" fontId="10" fillId="0" borderId="5" xfId="0" applyNumberFormat="1" applyFont="1" applyFill="1" applyBorder="1" applyAlignment="1">
      <alignment horizontal="center" vertical="center" shrinkToFit="1"/>
    </xf>
    <xf numFmtId="10" fontId="10" fillId="0" borderId="5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shrinkToFit="1"/>
    </xf>
    <xf numFmtId="178" fontId="6" fillId="0" borderId="5" xfId="0" applyNumberFormat="1" applyFont="1" applyFill="1" applyBorder="1" applyAlignment="1">
      <alignment horizontal="center" shrinkToFit="1"/>
    </xf>
    <xf numFmtId="0" fontId="6" fillId="0" borderId="5" xfId="0" applyFont="1" applyFill="1" applyBorder="1" applyAlignment="1">
      <alignment horizontal="left" wrapText="1"/>
    </xf>
    <xf numFmtId="177" fontId="10" fillId="0" borderId="5" xfId="0" applyNumberFormat="1" applyFont="1" applyFill="1" applyBorder="1" applyAlignment="1">
      <alignment horizontal="center" vertical="center" wrapText="1" shrinkToFit="1"/>
    </xf>
    <xf numFmtId="178" fontId="27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shrinkToFit="1"/>
    </xf>
    <xf numFmtId="177" fontId="6" fillId="0" borderId="5" xfId="0" applyNumberFormat="1" applyFont="1" applyFill="1" applyBorder="1" applyAlignment="1">
      <alignment horizontal="center" vertical="center" shrinkToFit="1"/>
    </xf>
    <xf numFmtId="1" fontId="7" fillId="0" borderId="5" xfId="0" applyNumberFormat="1" applyFont="1" applyFill="1" applyBorder="1" applyAlignment="1">
      <alignment horizontal="left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12" fillId="0" borderId="5" xfId="5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left" wrapText="1"/>
    </xf>
    <xf numFmtId="0" fontId="7" fillId="0" borderId="5" xfId="0" applyNumberFormat="1" applyFont="1" applyFill="1" applyBorder="1" applyAlignment="1">
      <alignment horizontal="left" wrapText="1"/>
    </xf>
    <xf numFmtId="0" fontId="10" fillId="0" borderId="5" xfId="0" applyNumberFormat="1" applyFont="1" applyFill="1" applyBorder="1" applyAlignment="1">
      <alignment horizontal="left" wrapText="1"/>
    </xf>
    <xf numFmtId="177" fontId="6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 applyProtection="1">
      <alignment horizontal="center" vertical="center"/>
    </xf>
    <xf numFmtId="177" fontId="6" fillId="0" borderId="18" xfId="0" applyNumberFormat="1" applyFont="1" applyFill="1" applyBorder="1" applyAlignment="1" applyProtection="1">
      <alignment horizontal="center" vertical="center"/>
    </xf>
    <xf numFmtId="3" fontId="12" fillId="0" borderId="5" xfId="0" applyNumberFormat="1" applyFont="1" applyFill="1" applyBorder="1" applyAlignment="1" applyProtection="1">
      <alignment horizontal="center" vertical="center"/>
    </xf>
    <xf numFmtId="41" fontId="12" fillId="0" borderId="5" xfId="0" applyNumberFormat="1" applyFont="1" applyFill="1" applyBorder="1" applyAlignment="1">
      <alignment horizontal="center" vertical="center"/>
    </xf>
    <xf numFmtId="177" fontId="12" fillId="0" borderId="5" xfId="0" applyNumberFormat="1" applyFont="1" applyFill="1" applyBorder="1" applyAlignment="1">
      <alignment horizontal="center" vertical="center"/>
    </xf>
    <xf numFmtId="177" fontId="10" fillId="0" borderId="19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177" fontId="10" fillId="0" borderId="5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41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全区社保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收入明细表(报人大) (3)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_2013年政府性基金预算草案0109陈改" xfId="53"/>
    <cellStyle name="常规_Sheet1" xfId="54"/>
    <cellStyle name="常规_Sheet1_全区社保" xfId="55"/>
    <cellStyle name="样式 1" xfId="56"/>
  </cellStyles>
  <tableStyles count="0" defaultTableStyle="TableStyleMedium2" defaultPivotStyle="PivotStyleLight16"/>
  <colors>
    <mruColors>
      <color rgb="00FF99CC"/>
      <color rgb="00FFD966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customXml" Target="../customXml/item1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&#32534;&#21046;\2022&#39044;&#31639;&#32534;&#21046;\2022&#24180;&#39044;&#31639;&#32534;&#21046;\&#65307;&#31038;&#20445;&#22522;&#37329;\&#31038;&#20445;&#32929;2021&#24180;&#39044;&#31639;&#25191;&#34892;&#24773;&#20917;&#21644;2022&#24180;&#39044;&#31639;&#65288;&#33609;&#266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本级社保收入（草表）"/>
      <sheetName val="本级社保支出 (草表)"/>
      <sheetName val="本级社保收入"/>
      <sheetName val="本级社保支出"/>
    </sheetNames>
    <sheetDataSet>
      <sheetData sheetId="0"/>
      <sheetData sheetId="1">
        <row r="16">
          <cell r="B16">
            <v>21295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68"/>
  <sheetViews>
    <sheetView showZeros="0" workbookViewId="0">
      <pane ySplit="6" topLeftCell="A42" activePane="bottomLeft" state="frozen"/>
      <selection/>
      <selection pane="bottomLeft" activeCell="A2" sqref="A2:K2"/>
    </sheetView>
  </sheetViews>
  <sheetFormatPr defaultColWidth="8" defaultRowHeight="15.6"/>
  <cols>
    <col min="1" max="1" width="32.462962962963" style="318" customWidth="1"/>
    <col min="2" max="2" width="11.6018518518519" style="138" customWidth="1"/>
    <col min="3" max="3" width="10.8611111111111" style="138" customWidth="1"/>
    <col min="4" max="4" width="11" style="138" customWidth="1"/>
    <col min="5" max="5" width="9.86111111111111" style="138" customWidth="1"/>
    <col min="6" max="6" width="10.7314814814815" style="138" customWidth="1"/>
    <col min="7" max="7" width="11.6018518518519" style="138" customWidth="1"/>
    <col min="8" max="8" width="9.46296296296296" style="138" customWidth="1"/>
    <col min="9" max="9" width="11.8611111111111" style="138" customWidth="1"/>
    <col min="10" max="10" width="11.7314814814815" style="317" customWidth="1"/>
    <col min="11" max="11" width="10.462962962963" style="138" customWidth="1"/>
    <col min="12" max="12" width="8.33333333333333" style="138" hidden="1" customWidth="1"/>
    <col min="13" max="14" width="14.3981481481481" style="138" hidden="1" customWidth="1"/>
    <col min="15" max="15" width="13.1296296296296" style="138"/>
    <col min="16" max="16384" width="8" style="138"/>
  </cols>
  <sheetData>
    <row r="1" ht="18" customHeight="1" spans="1:1">
      <c r="A1" s="5" t="s">
        <v>0</v>
      </c>
    </row>
    <row r="2" s="316" customFormat="1" ht="34" customHeight="1" spans="1:11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ht="21" customHeight="1" spans="10:10">
      <c r="J3" s="138" t="s">
        <v>2</v>
      </c>
    </row>
    <row r="4" s="317" customFormat="1" ht="21.95" customHeight="1" spans="1:11">
      <c r="A4" s="294" t="s">
        <v>3</v>
      </c>
      <c r="B4" s="319" t="s">
        <v>4</v>
      </c>
      <c r="C4" s="319"/>
      <c r="D4" s="319"/>
      <c r="E4" s="319"/>
      <c r="F4" s="319"/>
      <c r="G4" s="319"/>
      <c r="H4" s="319"/>
      <c r="I4" s="319" t="s">
        <v>5</v>
      </c>
      <c r="J4" s="319"/>
      <c r="K4" s="319"/>
    </row>
    <row r="5" s="317" customFormat="1" ht="24" customHeight="1" spans="1:11">
      <c r="A5" s="294"/>
      <c r="B5" s="294" t="s">
        <v>6</v>
      </c>
      <c r="C5" s="294" t="s">
        <v>7</v>
      </c>
      <c r="D5" s="294" t="s">
        <v>8</v>
      </c>
      <c r="E5" s="294" t="s">
        <v>9</v>
      </c>
      <c r="F5" s="294" t="s">
        <v>10</v>
      </c>
      <c r="G5" s="294" t="s">
        <v>11</v>
      </c>
      <c r="H5" s="294"/>
      <c r="I5" s="294" t="s">
        <v>12</v>
      </c>
      <c r="J5" s="294" t="s">
        <v>13</v>
      </c>
      <c r="K5" s="294"/>
    </row>
    <row r="6" ht="18" customHeight="1" spans="1:11">
      <c r="A6" s="294"/>
      <c r="B6" s="294"/>
      <c r="C6" s="294"/>
      <c r="D6" s="294"/>
      <c r="E6" s="294"/>
      <c r="F6" s="294"/>
      <c r="G6" s="294" t="s">
        <v>14</v>
      </c>
      <c r="H6" s="294" t="s">
        <v>15</v>
      </c>
      <c r="I6" s="294"/>
      <c r="J6" s="294" t="s">
        <v>14</v>
      </c>
      <c r="K6" s="294" t="s">
        <v>16</v>
      </c>
    </row>
    <row r="7" ht="21.75" customHeight="1" spans="1:11">
      <c r="A7" s="320" t="s">
        <v>17</v>
      </c>
      <c r="B7" s="301">
        <f t="shared" ref="B7:D7" si="0">SUM(B8:B23)</f>
        <v>18535</v>
      </c>
      <c r="C7" s="301">
        <f t="shared" si="0"/>
        <v>19297</v>
      </c>
      <c r="D7" s="301">
        <f t="shared" si="0"/>
        <v>21773</v>
      </c>
      <c r="E7" s="302">
        <f t="shared" ref="E7:E9" si="1">D7/C7</f>
        <v>1.12831010001555</v>
      </c>
      <c r="F7" s="301">
        <f>SUM(F8:F23)</f>
        <v>18823</v>
      </c>
      <c r="G7" s="301">
        <f t="shared" ref="G7:G21" si="2">D7-F7</f>
        <v>2950</v>
      </c>
      <c r="H7" s="18">
        <f t="shared" ref="H7:H10" si="3">G7/F7</f>
        <v>0.156723157838814</v>
      </c>
      <c r="I7" s="301">
        <f>SUM(I8:I22)</f>
        <v>20113</v>
      </c>
      <c r="J7" s="17">
        <f t="shared" ref="J7:J68" si="4">I7-D7</f>
        <v>-1660</v>
      </c>
      <c r="K7" s="302">
        <f t="shared" ref="K7:K9" si="5">J7/D7</f>
        <v>-0.0762412161851835</v>
      </c>
    </row>
    <row r="8" ht="21.75" customHeight="1" spans="1:11">
      <c r="A8" s="321" t="s">
        <v>18</v>
      </c>
      <c r="B8" s="322">
        <v>5824</v>
      </c>
      <c r="C8" s="17">
        <v>7456</v>
      </c>
      <c r="D8" s="323">
        <v>7807</v>
      </c>
      <c r="E8" s="324">
        <f t="shared" si="1"/>
        <v>1.04707618025751</v>
      </c>
      <c r="F8" s="325">
        <f>6967-4253</f>
        <v>2714</v>
      </c>
      <c r="G8" s="17">
        <f t="shared" si="2"/>
        <v>5093</v>
      </c>
      <c r="H8" s="18">
        <f t="shared" si="3"/>
        <v>1.87656595431098</v>
      </c>
      <c r="I8" s="322">
        <v>8192</v>
      </c>
      <c r="J8" s="17">
        <f t="shared" si="4"/>
        <v>385</v>
      </c>
      <c r="K8" s="18">
        <f t="shared" si="5"/>
        <v>0.0493147175611631</v>
      </c>
    </row>
    <row r="9" ht="21.75" customHeight="1" spans="1:11">
      <c r="A9" s="321" t="s">
        <v>19</v>
      </c>
      <c r="B9" s="322">
        <v>1760</v>
      </c>
      <c r="C9" s="326"/>
      <c r="D9" s="325"/>
      <c r="E9" s="324"/>
      <c r="F9" s="325">
        <v>4253</v>
      </c>
      <c r="G9" s="17">
        <f t="shared" si="2"/>
        <v>-4253</v>
      </c>
      <c r="H9" s="18">
        <f t="shared" si="3"/>
        <v>-1</v>
      </c>
      <c r="I9" s="322"/>
      <c r="J9" s="17">
        <f t="shared" si="4"/>
        <v>0</v>
      </c>
      <c r="K9" s="18"/>
    </row>
    <row r="10" ht="21.75" customHeight="1" spans="1:11">
      <c r="A10" s="327" t="s">
        <v>20</v>
      </c>
      <c r="B10" s="17"/>
      <c r="C10" s="17"/>
      <c r="D10" s="328"/>
      <c r="E10" s="324"/>
      <c r="F10" s="328"/>
      <c r="G10" s="17">
        <f t="shared" si="2"/>
        <v>0</v>
      </c>
      <c r="H10" s="18"/>
      <c r="I10" s="17">
        <v>0</v>
      </c>
      <c r="J10" s="17">
        <f t="shared" si="4"/>
        <v>0</v>
      </c>
      <c r="K10" s="18"/>
    </row>
    <row r="11" ht="21.75" customHeight="1" spans="1:11">
      <c r="A11" s="327" t="s">
        <v>21</v>
      </c>
      <c r="B11" s="17">
        <v>1110</v>
      </c>
      <c r="C11" s="17">
        <v>900</v>
      </c>
      <c r="D11" s="328">
        <v>866</v>
      </c>
      <c r="E11" s="324">
        <f t="shared" ref="E11:E21" si="6">D11/C11</f>
        <v>0.962222222222222</v>
      </c>
      <c r="F11" s="328">
        <v>818</v>
      </c>
      <c r="G11" s="17">
        <f t="shared" si="2"/>
        <v>48</v>
      </c>
      <c r="H11" s="18">
        <f t="shared" ref="H11:H19" si="7">G11/F11</f>
        <v>0.058679706601467</v>
      </c>
      <c r="I11" s="17">
        <v>1200</v>
      </c>
      <c r="J11" s="17">
        <f t="shared" si="4"/>
        <v>334</v>
      </c>
      <c r="K11" s="18">
        <f t="shared" ref="K11:K22" si="8">J11/D11</f>
        <v>0.38568129330254</v>
      </c>
    </row>
    <row r="12" ht="21.75" customHeight="1" spans="1:11">
      <c r="A12" s="321" t="s">
        <v>22</v>
      </c>
      <c r="B12" s="322">
        <v>500</v>
      </c>
      <c r="C12" s="17">
        <v>500</v>
      </c>
      <c r="D12" s="328">
        <v>782</v>
      </c>
      <c r="E12" s="324">
        <f t="shared" si="6"/>
        <v>1.564</v>
      </c>
      <c r="F12" s="328">
        <v>706</v>
      </c>
      <c r="G12" s="17">
        <f t="shared" si="2"/>
        <v>76</v>
      </c>
      <c r="H12" s="18">
        <f t="shared" si="7"/>
        <v>0.107648725212465</v>
      </c>
      <c r="I12" s="322">
        <v>625</v>
      </c>
      <c r="J12" s="17">
        <f t="shared" si="4"/>
        <v>-157</v>
      </c>
      <c r="K12" s="18">
        <f t="shared" si="8"/>
        <v>-0.20076726342711</v>
      </c>
    </row>
    <row r="13" ht="21.75" customHeight="1" spans="1:11">
      <c r="A13" s="327" t="s">
        <v>23</v>
      </c>
      <c r="B13" s="329">
        <v>1300</v>
      </c>
      <c r="C13" s="17">
        <v>2000</v>
      </c>
      <c r="D13" s="328">
        <v>2208</v>
      </c>
      <c r="E13" s="324">
        <f t="shared" si="6"/>
        <v>1.104</v>
      </c>
      <c r="F13" s="328">
        <v>1409</v>
      </c>
      <c r="G13" s="17">
        <f t="shared" si="2"/>
        <v>799</v>
      </c>
      <c r="H13" s="18">
        <f t="shared" si="7"/>
        <v>0.567068843151171</v>
      </c>
      <c r="I13" s="329">
        <v>2500</v>
      </c>
      <c r="J13" s="17">
        <f t="shared" si="4"/>
        <v>292</v>
      </c>
      <c r="K13" s="18">
        <f t="shared" si="8"/>
        <v>0.132246376811594</v>
      </c>
    </row>
    <row r="14" ht="21.75" customHeight="1" spans="1:11">
      <c r="A14" s="321" t="s">
        <v>24</v>
      </c>
      <c r="B14" s="329">
        <v>1000</v>
      </c>
      <c r="C14" s="17">
        <v>1000</v>
      </c>
      <c r="D14" s="328">
        <v>1040</v>
      </c>
      <c r="E14" s="324">
        <f t="shared" si="6"/>
        <v>1.04</v>
      </c>
      <c r="F14" s="328">
        <v>942</v>
      </c>
      <c r="G14" s="17">
        <f t="shared" si="2"/>
        <v>98</v>
      </c>
      <c r="H14" s="18">
        <f t="shared" si="7"/>
        <v>0.104033970276008</v>
      </c>
      <c r="I14" s="329">
        <v>1400</v>
      </c>
      <c r="J14" s="17">
        <f t="shared" si="4"/>
        <v>360</v>
      </c>
      <c r="K14" s="18">
        <f t="shared" si="8"/>
        <v>0.346153846153846</v>
      </c>
    </row>
    <row r="15" ht="21.75" customHeight="1" spans="1:11">
      <c r="A15" s="321" t="s">
        <v>25</v>
      </c>
      <c r="B15" s="329">
        <v>300</v>
      </c>
      <c r="C15" s="17">
        <v>300</v>
      </c>
      <c r="D15" s="328">
        <v>439</v>
      </c>
      <c r="E15" s="324">
        <f t="shared" si="6"/>
        <v>1.46333333333333</v>
      </c>
      <c r="F15" s="328">
        <v>370</v>
      </c>
      <c r="G15" s="17">
        <f t="shared" si="2"/>
        <v>69</v>
      </c>
      <c r="H15" s="18">
        <f t="shared" si="7"/>
        <v>0.186486486486486</v>
      </c>
      <c r="I15" s="329">
        <v>370</v>
      </c>
      <c r="J15" s="17">
        <f t="shared" si="4"/>
        <v>-69</v>
      </c>
      <c r="K15" s="18">
        <f t="shared" si="8"/>
        <v>-0.157175398633257</v>
      </c>
    </row>
    <row r="16" ht="21.75" customHeight="1" spans="1:11">
      <c r="A16" s="321" t="s">
        <v>26</v>
      </c>
      <c r="B16" s="329">
        <v>300</v>
      </c>
      <c r="C16" s="17">
        <v>400</v>
      </c>
      <c r="D16" s="328">
        <v>491</v>
      </c>
      <c r="E16" s="324">
        <f t="shared" si="6"/>
        <v>1.2275</v>
      </c>
      <c r="F16" s="328">
        <v>356</v>
      </c>
      <c r="G16" s="17">
        <f t="shared" si="2"/>
        <v>135</v>
      </c>
      <c r="H16" s="18">
        <f t="shared" si="7"/>
        <v>0.379213483146067</v>
      </c>
      <c r="I16" s="329">
        <v>400</v>
      </c>
      <c r="J16" s="17">
        <f t="shared" si="4"/>
        <v>-91</v>
      </c>
      <c r="K16" s="18">
        <f t="shared" si="8"/>
        <v>-0.185336048879837</v>
      </c>
    </row>
    <row r="17" ht="21.75" customHeight="1" spans="1:11">
      <c r="A17" s="321" t="s">
        <v>27</v>
      </c>
      <c r="B17" s="329">
        <v>200</v>
      </c>
      <c r="C17" s="17">
        <v>200</v>
      </c>
      <c r="D17" s="328">
        <v>260</v>
      </c>
      <c r="E17" s="324">
        <f t="shared" si="6"/>
        <v>1.3</v>
      </c>
      <c r="F17" s="328">
        <v>173</v>
      </c>
      <c r="G17" s="17">
        <f t="shared" si="2"/>
        <v>87</v>
      </c>
      <c r="H17" s="18">
        <f t="shared" si="7"/>
        <v>0.502890173410405</v>
      </c>
      <c r="I17" s="329">
        <v>200</v>
      </c>
      <c r="J17" s="17">
        <f t="shared" si="4"/>
        <v>-60</v>
      </c>
      <c r="K17" s="18">
        <f t="shared" si="8"/>
        <v>-0.230769230769231</v>
      </c>
    </row>
    <row r="18" ht="21.75" customHeight="1" spans="1:11">
      <c r="A18" s="321" t="s">
        <v>28</v>
      </c>
      <c r="B18" s="329">
        <v>1500</v>
      </c>
      <c r="C18" s="17">
        <v>1500</v>
      </c>
      <c r="D18" s="328">
        <v>1676</v>
      </c>
      <c r="E18" s="324">
        <f t="shared" si="6"/>
        <v>1.11733333333333</v>
      </c>
      <c r="F18" s="328">
        <v>1411</v>
      </c>
      <c r="G18" s="17">
        <f t="shared" si="2"/>
        <v>265</v>
      </c>
      <c r="H18" s="18">
        <f t="shared" si="7"/>
        <v>0.18781006378455</v>
      </c>
      <c r="I18" s="329">
        <v>1500</v>
      </c>
      <c r="J18" s="17">
        <f t="shared" si="4"/>
        <v>-176</v>
      </c>
      <c r="K18" s="18">
        <f t="shared" si="8"/>
        <v>-0.105011933174224</v>
      </c>
    </row>
    <row r="19" ht="21.75" customHeight="1" spans="1:11">
      <c r="A19" s="330" t="s">
        <v>29</v>
      </c>
      <c r="B19" s="329">
        <v>450</v>
      </c>
      <c r="C19" s="17">
        <v>450</v>
      </c>
      <c r="D19" s="328">
        <v>515</v>
      </c>
      <c r="E19" s="324">
        <f t="shared" si="6"/>
        <v>1.14444444444444</v>
      </c>
      <c r="F19" s="328">
        <v>471</v>
      </c>
      <c r="G19" s="17">
        <f t="shared" si="2"/>
        <v>44</v>
      </c>
      <c r="H19" s="18">
        <f t="shared" si="7"/>
        <v>0.0934182590233546</v>
      </c>
      <c r="I19" s="329">
        <v>600</v>
      </c>
      <c r="J19" s="17">
        <f t="shared" si="4"/>
        <v>85</v>
      </c>
      <c r="K19" s="18">
        <f t="shared" si="8"/>
        <v>0.16504854368932</v>
      </c>
    </row>
    <row r="20" ht="21.75" customHeight="1" spans="1:11">
      <c r="A20" s="321" t="s">
        <v>30</v>
      </c>
      <c r="B20" s="329">
        <v>3000</v>
      </c>
      <c r="C20" s="17">
        <v>2400</v>
      </c>
      <c r="D20" s="328">
        <v>2846</v>
      </c>
      <c r="E20" s="324">
        <f t="shared" si="6"/>
        <v>1.18583333333333</v>
      </c>
      <c r="F20" s="328">
        <v>3108</v>
      </c>
      <c r="G20" s="17">
        <f t="shared" si="2"/>
        <v>-262</v>
      </c>
      <c r="H20" s="18">
        <f t="shared" ref="H20:H51" si="9">G20/F20</f>
        <v>-0.0842985842985843</v>
      </c>
      <c r="I20" s="329">
        <v>500</v>
      </c>
      <c r="J20" s="17">
        <f t="shared" si="4"/>
        <v>-2346</v>
      </c>
      <c r="K20" s="18">
        <f t="shared" si="8"/>
        <v>-0.824314827828531</v>
      </c>
    </row>
    <row r="21" ht="21.75" customHeight="1" spans="1:11">
      <c r="A21" s="321" t="s">
        <v>31</v>
      </c>
      <c r="B21" s="329">
        <v>1200</v>
      </c>
      <c r="C21" s="17">
        <v>2100</v>
      </c>
      <c r="D21" s="328">
        <v>2721</v>
      </c>
      <c r="E21" s="324">
        <f t="shared" si="6"/>
        <v>1.29571428571429</v>
      </c>
      <c r="F21" s="328">
        <v>2015</v>
      </c>
      <c r="G21" s="17">
        <f t="shared" si="2"/>
        <v>706</v>
      </c>
      <c r="H21" s="18">
        <f t="shared" si="9"/>
        <v>0.350372208436725</v>
      </c>
      <c r="I21" s="329">
        <v>2500</v>
      </c>
      <c r="J21" s="17">
        <f t="shared" si="4"/>
        <v>-221</v>
      </c>
      <c r="K21" s="18">
        <f t="shared" si="8"/>
        <v>-0.0812201396545388</v>
      </c>
    </row>
    <row r="22" ht="21.75" customHeight="1" spans="1:11">
      <c r="A22" s="321" t="s">
        <v>32</v>
      </c>
      <c r="B22" s="331">
        <v>91</v>
      </c>
      <c r="C22" s="17">
        <v>91</v>
      </c>
      <c r="D22" s="328">
        <v>122</v>
      </c>
      <c r="E22" s="324"/>
      <c r="F22" s="328">
        <v>77</v>
      </c>
      <c r="G22" s="17"/>
      <c r="H22" s="18">
        <f t="shared" si="9"/>
        <v>0</v>
      </c>
      <c r="I22" s="329">
        <v>126</v>
      </c>
      <c r="J22" s="17">
        <f t="shared" si="4"/>
        <v>4</v>
      </c>
      <c r="K22" s="18">
        <f t="shared" si="8"/>
        <v>0.0327868852459016</v>
      </c>
    </row>
    <row r="23" ht="21.75" customHeight="1" spans="1:11">
      <c r="A23" s="321" t="s">
        <v>33</v>
      </c>
      <c r="B23" s="300">
        <v>0</v>
      </c>
      <c r="C23" s="17">
        <v>0</v>
      </c>
      <c r="D23" s="17">
        <v>0</v>
      </c>
      <c r="E23" s="18"/>
      <c r="F23" s="17"/>
      <c r="G23" s="17"/>
      <c r="H23" s="18"/>
      <c r="I23" s="300">
        <v>0</v>
      </c>
      <c r="J23" s="17">
        <f t="shared" si="4"/>
        <v>0</v>
      </c>
      <c r="K23" s="18"/>
    </row>
    <row r="24" ht="21.75" customHeight="1" spans="1:11">
      <c r="A24" s="332" t="s">
        <v>34</v>
      </c>
      <c r="B24" s="301">
        <f t="shared" ref="B24:D24" si="10">SUM(B25:B32)</f>
        <v>32310</v>
      </c>
      <c r="C24" s="301">
        <f>C25+C26+C27+C28+C29+C32+C30+C31</f>
        <v>32310</v>
      </c>
      <c r="D24" s="301">
        <f t="shared" si="10"/>
        <v>19007</v>
      </c>
      <c r="E24" s="302">
        <f t="shared" ref="E24:E29" si="11">D24/C24</f>
        <v>0.58826988548437</v>
      </c>
      <c r="F24" s="301">
        <f>SUM(F25:F32)</f>
        <v>29625</v>
      </c>
      <c r="G24" s="301">
        <f t="shared" ref="G24:G34" si="12">D24-F24</f>
        <v>-10618</v>
      </c>
      <c r="H24" s="18">
        <f t="shared" si="9"/>
        <v>-0.358413502109705</v>
      </c>
      <c r="I24" s="301">
        <f>SUM(I25:I32)</f>
        <v>26045</v>
      </c>
      <c r="J24" s="301">
        <f t="shared" si="4"/>
        <v>7038</v>
      </c>
      <c r="K24" s="302">
        <f t="shared" ref="K24:K27" si="13">J24/D24</f>
        <v>0.370284631977692</v>
      </c>
    </row>
    <row r="25" ht="21.75" customHeight="1" spans="1:11">
      <c r="A25" s="321" t="s">
        <v>35</v>
      </c>
      <c r="B25" s="17">
        <v>1530</v>
      </c>
      <c r="C25" s="17">
        <v>1530</v>
      </c>
      <c r="D25" s="333">
        <v>1887</v>
      </c>
      <c r="E25" s="18">
        <f t="shared" si="11"/>
        <v>1.23333333333333</v>
      </c>
      <c r="F25" s="333">
        <v>1469</v>
      </c>
      <c r="G25" s="301">
        <f t="shared" si="12"/>
        <v>418</v>
      </c>
      <c r="H25" s="18">
        <f t="shared" si="9"/>
        <v>0.284547311095984</v>
      </c>
      <c r="I25" s="17">
        <v>2050</v>
      </c>
      <c r="J25" s="17">
        <f t="shared" si="4"/>
        <v>163</v>
      </c>
      <c r="K25" s="18">
        <f t="shared" si="13"/>
        <v>0.086380498145204</v>
      </c>
    </row>
    <row r="26" ht="21.75" customHeight="1" spans="1:11">
      <c r="A26" s="321" t="s">
        <v>36</v>
      </c>
      <c r="B26" s="17">
        <v>2980</v>
      </c>
      <c r="C26" s="17">
        <v>4040</v>
      </c>
      <c r="D26" s="333">
        <v>3112</v>
      </c>
      <c r="E26" s="18">
        <f t="shared" si="11"/>
        <v>0.77029702970297</v>
      </c>
      <c r="F26" s="333">
        <v>821</v>
      </c>
      <c r="G26" s="301">
        <f t="shared" si="12"/>
        <v>2291</v>
      </c>
      <c r="H26" s="18">
        <f t="shared" si="9"/>
        <v>2.7904993909866</v>
      </c>
      <c r="I26" s="17">
        <v>3100</v>
      </c>
      <c r="J26" s="17">
        <f t="shared" si="4"/>
        <v>-12</v>
      </c>
      <c r="K26" s="18">
        <f t="shared" si="13"/>
        <v>-0.0038560411311054</v>
      </c>
    </row>
    <row r="27" ht="21.75" customHeight="1" spans="1:11">
      <c r="A27" s="321" t="s">
        <v>37</v>
      </c>
      <c r="B27" s="17">
        <v>1100</v>
      </c>
      <c r="C27" s="17">
        <v>2206</v>
      </c>
      <c r="D27" s="333">
        <v>2778</v>
      </c>
      <c r="E27" s="18">
        <f t="shared" si="11"/>
        <v>1.25929283771532</v>
      </c>
      <c r="F27" s="333">
        <v>1151</v>
      </c>
      <c r="G27" s="301">
        <f t="shared" si="12"/>
        <v>1627</v>
      </c>
      <c r="H27" s="18">
        <f t="shared" si="9"/>
        <v>1.41355343179844</v>
      </c>
      <c r="I27" s="17">
        <v>2000</v>
      </c>
      <c r="J27" s="17">
        <f t="shared" si="4"/>
        <v>-778</v>
      </c>
      <c r="K27" s="18">
        <f t="shared" si="13"/>
        <v>-0.280057595392369</v>
      </c>
    </row>
    <row r="28" ht="21.75" customHeight="1" spans="1:11">
      <c r="A28" s="321" t="s">
        <v>38</v>
      </c>
      <c r="B28" s="17">
        <v>40</v>
      </c>
      <c r="C28" s="17">
        <v>40</v>
      </c>
      <c r="D28" s="333"/>
      <c r="E28" s="18">
        <f t="shared" si="11"/>
        <v>0</v>
      </c>
      <c r="F28" s="333"/>
      <c r="G28" s="301">
        <f t="shared" si="12"/>
        <v>0</v>
      </c>
      <c r="H28" s="18"/>
      <c r="I28" s="17">
        <v>40</v>
      </c>
      <c r="J28" s="17">
        <f t="shared" si="4"/>
        <v>40</v>
      </c>
      <c r="K28" s="18"/>
    </row>
    <row r="29" ht="27" customHeight="1" spans="1:11">
      <c r="A29" s="321" t="s">
        <v>39</v>
      </c>
      <c r="B29" s="17">
        <v>26560</v>
      </c>
      <c r="C29" s="17">
        <v>24394</v>
      </c>
      <c r="D29" s="333">
        <v>10093</v>
      </c>
      <c r="E29" s="18">
        <f t="shared" si="11"/>
        <v>0.413749282610478</v>
      </c>
      <c r="F29" s="333">
        <v>26095</v>
      </c>
      <c r="G29" s="301">
        <f t="shared" si="12"/>
        <v>-16002</v>
      </c>
      <c r="H29" s="18">
        <f t="shared" si="9"/>
        <v>-0.613220923548572</v>
      </c>
      <c r="I29" s="17">
        <f>18255+500</f>
        <v>18755</v>
      </c>
      <c r="J29" s="17">
        <f t="shared" si="4"/>
        <v>8662</v>
      </c>
      <c r="K29" s="18">
        <f t="shared" ref="K29:K49" si="14">J29/D29</f>
        <v>0.858218567323888</v>
      </c>
    </row>
    <row r="30" ht="21.75" customHeight="1" spans="1:11">
      <c r="A30" s="321" t="s">
        <v>40</v>
      </c>
      <c r="B30" s="17"/>
      <c r="C30" s="17"/>
      <c r="D30" s="333">
        <v>1</v>
      </c>
      <c r="E30" s="18"/>
      <c r="F30" s="333"/>
      <c r="G30" s="301">
        <f t="shared" si="12"/>
        <v>1</v>
      </c>
      <c r="H30" s="18"/>
      <c r="I30" s="17"/>
      <c r="J30" s="17">
        <f t="shared" si="4"/>
        <v>-1</v>
      </c>
      <c r="K30" s="18"/>
    </row>
    <row r="31" ht="21.75" customHeight="1" spans="1:11">
      <c r="A31" s="321" t="s">
        <v>41</v>
      </c>
      <c r="B31" s="17">
        <v>80</v>
      </c>
      <c r="C31" s="17">
        <v>80</v>
      </c>
      <c r="D31" s="333">
        <v>155</v>
      </c>
      <c r="E31" s="18"/>
      <c r="F31" s="333">
        <v>73</v>
      </c>
      <c r="G31" s="301">
        <f t="shared" si="12"/>
        <v>82</v>
      </c>
      <c r="H31" s="18">
        <f t="shared" si="9"/>
        <v>1.12328767123288</v>
      </c>
      <c r="I31" s="17">
        <v>80</v>
      </c>
      <c r="J31" s="17">
        <f t="shared" si="4"/>
        <v>-75</v>
      </c>
      <c r="K31" s="18">
        <f t="shared" si="14"/>
        <v>-0.483870967741935</v>
      </c>
    </row>
    <row r="32" ht="21.75" customHeight="1" spans="1:11">
      <c r="A32" s="321" t="s">
        <v>42</v>
      </c>
      <c r="B32" s="17">
        <v>20</v>
      </c>
      <c r="C32" s="17">
        <v>20</v>
      </c>
      <c r="D32" s="17">
        <v>981</v>
      </c>
      <c r="E32" s="18"/>
      <c r="F32" s="17">
        <v>16</v>
      </c>
      <c r="G32" s="301">
        <f t="shared" si="12"/>
        <v>965</v>
      </c>
      <c r="H32" s="18">
        <f t="shared" si="9"/>
        <v>60.3125</v>
      </c>
      <c r="I32" s="17">
        <v>20</v>
      </c>
      <c r="J32" s="17">
        <f t="shared" si="4"/>
        <v>-961</v>
      </c>
      <c r="K32" s="18">
        <f t="shared" si="14"/>
        <v>-0.979612640163099</v>
      </c>
    </row>
    <row r="33" ht="21.75" customHeight="1" spans="1:13">
      <c r="A33" s="332" t="s">
        <v>43</v>
      </c>
      <c r="B33" s="301">
        <f>B7+B24</f>
        <v>50845</v>
      </c>
      <c r="C33" s="301">
        <f>C7+C24</f>
        <v>51607</v>
      </c>
      <c r="D33" s="301">
        <v>40780</v>
      </c>
      <c r="E33" s="302">
        <f t="shared" ref="E33:E37" si="15">D33/C33</f>
        <v>0.790202879454338</v>
      </c>
      <c r="F33" s="301">
        <f>F24+F7</f>
        <v>48448</v>
      </c>
      <c r="G33" s="301">
        <f t="shared" si="12"/>
        <v>-7668</v>
      </c>
      <c r="H33" s="18">
        <f t="shared" si="9"/>
        <v>-0.158272787318362</v>
      </c>
      <c r="I33" s="301">
        <f>I7+I24</f>
        <v>46158</v>
      </c>
      <c r="J33" s="17">
        <f t="shared" si="4"/>
        <v>5378</v>
      </c>
      <c r="K33" s="302">
        <f t="shared" si="14"/>
        <v>0.131878371750858</v>
      </c>
      <c r="M33" s="285">
        <f>I33+I34-80924</f>
        <v>203321.15</v>
      </c>
    </row>
    <row r="34" ht="21.75" customHeight="1" spans="1:13">
      <c r="A34" s="332" t="s">
        <v>44</v>
      </c>
      <c r="B34" s="301">
        <f t="shared" ref="B34:C34" si="16">B35+B91+B98+B99+B100+B101</f>
        <v>274525.63</v>
      </c>
      <c r="C34" s="301">
        <f t="shared" si="16"/>
        <v>300217.85</v>
      </c>
      <c r="D34" s="301">
        <f>SUM(D35,D91,D97:D100)</f>
        <v>327315.7</v>
      </c>
      <c r="E34" s="302">
        <f t="shared" si="15"/>
        <v>1.09026062241136</v>
      </c>
      <c r="F34" s="301">
        <f>SUM(F35,F91,F97:F100)</f>
        <v>349219</v>
      </c>
      <c r="G34" s="301">
        <f t="shared" si="12"/>
        <v>-21903.3</v>
      </c>
      <c r="H34" s="18">
        <f t="shared" si="9"/>
        <v>-0.0627208141595961</v>
      </c>
      <c r="I34" s="301">
        <f>I35+I91+I98+I99+I100+I101</f>
        <v>238087.15</v>
      </c>
      <c r="J34" s="17">
        <f t="shared" si="4"/>
        <v>-89228.55</v>
      </c>
      <c r="K34" s="302">
        <f t="shared" si="14"/>
        <v>-0.272606996853497</v>
      </c>
      <c r="M34" s="285"/>
    </row>
    <row r="35" ht="21.75" customHeight="1" spans="1:13">
      <c r="A35" s="332" t="s">
        <v>45</v>
      </c>
      <c r="B35" s="301">
        <f t="shared" ref="B35:D35" si="17">B36+B42+B68</f>
        <v>265935.63</v>
      </c>
      <c r="C35" s="301">
        <f t="shared" si="17"/>
        <v>272350.85</v>
      </c>
      <c r="D35" s="301">
        <f t="shared" si="17"/>
        <v>293523.7</v>
      </c>
      <c r="E35" s="302">
        <f t="shared" si="15"/>
        <v>1.0777410828716</v>
      </c>
      <c r="F35" s="301">
        <f>F36+F42+F68</f>
        <v>311769</v>
      </c>
      <c r="G35" s="301">
        <f t="shared" ref="G35:G41" si="18">D35-F35</f>
        <v>-18245.3</v>
      </c>
      <c r="H35" s="18">
        <f t="shared" si="9"/>
        <v>-0.0585218543216291</v>
      </c>
      <c r="I35" s="301">
        <f>I36+I42+I68</f>
        <v>191911.15</v>
      </c>
      <c r="J35" s="17">
        <f t="shared" si="4"/>
        <v>-101612.55</v>
      </c>
      <c r="K35" s="18">
        <f t="shared" si="14"/>
        <v>-0.346181756362434</v>
      </c>
      <c r="M35" s="285">
        <f>I35-I36-80924</f>
        <v>104299.15</v>
      </c>
    </row>
    <row r="36" ht="21.75" customHeight="1" spans="1:11">
      <c r="A36" s="332" t="s">
        <v>46</v>
      </c>
      <c r="B36" s="301">
        <f t="shared" ref="B36:G36" si="19">SUM(B37:B41)</f>
        <v>6688</v>
      </c>
      <c r="C36" s="301">
        <f t="shared" si="19"/>
        <v>6688</v>
      </c>
      <c r="D36" s="301">
        <f t="shared" si="19"/>
        <v>6740</v>
      </c>
      <c r="E36" s="302">
        <f t="shared" si="15"/>
        <v>1.00777511961722</v>
      </c>
      <c r="F36" s="301">
        <f>SUM(F37:F41)</f>
        <v>6688</v>
      </c>
      <c r="G36" s="301">
        <f t="shared" si="19"/>
        <v>-69</v>
      </c>
      <c r="H36" s="18">
        <f t="shared" si="9"/>
        <v>-0.010316985645933</v>
      </c>
      <c r="I36" s="301">
        <f>SUM(I37:I41)</f>
        <v>6688</v>
      </c>
      <c r="J36" s="17">
        <f t="shared" si="4"/>
        <v>-52</v>
      </c>
      <c r="K36" s="302">
        <f t="shared" si="14"/>
        <v>-0.00771513353115727</v>
      </c>
    </row>
    <row r="37" ht="27" customHeight="1" spans="1:11">
      <c r="A37" s="321" t="s">
        <v>47</v>
      </c>
      <c r="B37" s="17">
        <v>2880</v>
      </c>
      <c r="C37" s="17">
        <v>2880</v>
      </c>
      <c r="D37" s="17">
        <v>2880</v>
      </c>
      <c r="E37" s="18">
        <f t="shared" si="15"/>
        <v>1</v>
      </c>
      <c r="F37" s="17">
        <v>1906</v>
      </c>
      <c r="G37" s="17">
        <f t="shared" si="18"/>
        <v>974</v>
      </c>
      <c r="H37" s="18">
        <f t="shared" si="9"/>
        <v>0.511017838405037</v>
      </c>
      <c r="I37" s="17">
        <v>2880</v>
      </c>
      <c r="J37" s="17">
        <f t="shared" si="4"/>
        <v>0</v>
      </c>
      <c r="K37" s="18">
        <f t="shared" si="14"/>
        <v>0</v>
      </c>
    </row>
    <row r="38" ht="21.75" customHeight="1" spans="1:11">
      <c r="A38" s="321" t="s">
        <v>48</v>
      </c>
      <c r="B38" s="17">
        <v>508</v>
      </c>
      <c r="C38" s="17">
        <v>508</v>
      </c>
      <c r="D38" s="334">
        <v>560</v>
      </c>
      <c r="E38" s="18"/>
      <c r="F38" s="17">
        <v>439</v>
      </c>
      <c r="G38" s="17"/>
      <c r="H38" s="18">
        <f t="shared" si="9"/>
        <v>0</v>
      </c>
      <c r="I38" s="17">
        <v>508</v>
      </c>
      <c r="J38" s="17">
        <f t="shared" si="4"/>
        <v>-52</v>
      </c>
      <c r="K38" s="18">
        <f t="shared" si="14"/>
        <v>-0.0928571428571429</v>
      </c>
    </row>
    <row r="39" ht="21.75" customHeight="1" spans="1:11">
      <c r="A39" s="321" t="s">
        <v>49</v>
      </c>
      <c r="B39" s="17">
        <v>1906</v>
      </c>
      <c r="C39" s="17">
        <v>1906</v>
      </c>
      <c r="D39" s="17">
        <v>1906</v>
      </c>
      <c r="E39" s="18">
        <f t="shared" ref="E39:E49" si="20">D39/C39</f>
        <v>1</v>
      </c>
      <c r="F39" s="17">
        <v>2880</v>
      </c>
      <c r="G39" s="17">
        <f t="shared" si="18"/>
        <v>-974</v>
      </c>
      <c r="H39" s="18">
        <f t="shared" si="9"/>
        <v>-0.338194444444444</v>
      </c>
      <c r="I39" s="17">
        <v>1906</v>
      </c>
      <c r="J39" s="17">
        <f t="shared" si="4"/>
        <v>0</v>
      </c>
      <c r="K39" s="18">
        <f t="shared" si="14"/>
        <v>0</v>
      </c>
    </row>
    <row r="40" ht="33" customHeight="1" spans="1:11">
      <c r="A40" s="321" t="s">
        <v>50</v>
      </c>
      <c r="B40" s="17">
        <v>439</v>
      </c>
      <c r="C40" s="17">
        <v>439</v>
      </c>
      <c r="D40" s="17">
        <v>439</v>
      </c>
      <c r="E40" s="18">
        <f t="shared" si="20"/>
        <v>1</v>
      </c>
      <c r="F40" s="17">
        <v>508</v>
      </c>
      <c r="G40" s="17">
        <f t="shared" si="18"/>
        <v>-69</v>
      </c>
      <c r="H40" s="18">
        <f t="shared" si="9"/>
        <v>-0.135826771653543</v>
      </c>
      <c r="I40" s="17">
        <v>439</v>
      </c>
      <c r="J40" s="17">
        <f t="shared" si="4"/>
        <v>0</v>
      </c>
      <c r="K40" s="18">
        <f t="shared" si="14"/>
        <v>0</v>
      </c>
    </row>
    <row r="41" ht="21.75" customHeight="1" spans="1:11">
      <c r="A41" s="335" t="s">
        <v>51</v>
      </c>
      <c r="B41" s="17">
        <v>955</v>
      </c>
      <c r="C41" s="17">
        <v>955</v>
      </c>
      <c r="D41" s="17">
        <v>955</v>
      </c>
      <c r="E41" s="18">
        <f t="shared" si="20"/>
        <v>1</v>
      </c>
      <c r="F41" s="17">
        <v>955</v>
      </c>
      <c r="G41" s="17">
        <f t="shared" si="18"/>
        <v>0</v>
      </c>
      <c r="H41" s="18">
        <f t="shared" si="9"/>
        <v>0</v>
      </c>
      <c r="I41" s="17">
        <v>955</v>
      </c>
      <c r="J41" s="17">
        <f t="shared" si="4"/>
        <v>0</v>
      </c>
      <c r="K41" s="18">
        <f t="shared" si="14"/>
        <v>0</v>
      </c>
    </row>
    <row r="42" ht="21.75" customHeight="1" spans="1:11">
      <c r="A42" s="336" t="s">
        <v>52</v>
      </c>
      <c r="B42" s="301">
        <f>SUM(B43:B67)</f>
        <v>162517.72</v>
      </c>
      <c r="C42" s="301">
        <f>SUM(C43:C67)</f>
        <v>198682.92</v>
      </c>
      <c r="D42" s="301">
        <f>SUM(D43:D67)</f>
        <v>225622</v>
      </c>
      <c r="E42" s="302">
        <f t="shared" si="20"/>
        <v>1.13558830321197</v>
      </c>
      <c r="F42" s="301">
        <f>SUM(F43:F67)</f>
        <v>251711</v>
      </c>
      <c r="G42" s="301">
        <f>SUM(G43:G67)</f>
        <v>-26089</v>
      </c>
      <c r="H42" s="18">
        <f t="shared" si="9"/>
        <v>-0.103646642379554</v>
      </c>
      <c r="I42" s="301">
        <f>SUM(I43:I67)</f>
        <v>174505.72</v>
      </c>
      <c r="J42" s="17">
        <f t="shared" si="4"/>
        <v>-51116.28</v>
      </c>
      <c r="K42" s="18">
        <f t="shared" si="14"/>
        <v>-0.226557161978885</v>
      </c>
    </row>
    <row r="43" ht="21.75" customHeight="1" spans="1:11">
      <c r="A43" s="337" t="s">
        <v>53</v>
      </c>
      <c r="B43" s="17">
        <v>804</v>
      </c>
      <c r="C43" s="17">
        <v>804</v>
      </c>
      <c r="D43" s="17">
        <v>921</v>
      </c>
      <c r="E43" s="18">
        <f t="shared" si="20"/>
        <v>1.1455223880597</v>
      </c>
      <c r="F43" s="17">
        <v>921</v>
      </c>
      <c r="G43" s="17">
        <f t="shared" ref="G43:G54" si="21">D43-F43</f>
        <v>0</v>
      </c>
      <c r="H43" s="18">
        <f t="shared" si="9"/>
        <v>0</v>
      </c>
      <c r="I43" s="343">
        <v>921</v>
      </c>
      <c r="J43" s="17">
        <f t="shared" si="4"/>
        <v>0</v>
      </c>
      <c r="K43" s="18">
        <f t="shared" si="14"/>
        <v>0</v>
      </c>
    </row>
    <row r="44" ht="21.75" customHeight="1" spans="1:11">
      <c r="A44" s="337" t="s">
        <v>54</v>
      </c>
      <c r="B44" s="17">
        <v>57415</v>
      </c>
      <c r="C44" s="17">
        <f>55426+3305</f>
        <v>58731</v>
      </c>
      <c r="D44" s="300">
        <f>3305+55426</f>
        <v>58731</v>
      </c>
      <c r="E44" s="18">
        <f t="shared" si="20"/>
        <v>1</v>
      </c>
      <c r="F44" s="300">
        <v>57415</v>
      </c>
      <c r="G44" s="17">
        <f t="shared" si="21"/>
        <v>1316</v>
      </c>
      <c r="H44" s="18">
        <f t="shared" si="9"/>
        <v>0.0229208395018723</v>
      </c>
      <c r="I44" s="344">
        <v>57415</v>
      </c>
      <c r="J44" s="17">
        <f t="shared" si="4"/>
        <v>-1316</v>
      </c>
      <c r="K44" s="18">
        <f t="shared" si="14"/>
        <v>-0.0224072465989001</v>
      </c>
    </row>
    <row r="45" ht="20.25" customHeight="1" spans="1:13">
      <c r="A45" s="337" t="s">
        <v>55</v>
      </c>
      <c r="B45" s="138">
        <v>1260</v>
      </c>
      <c r="C45" s="338">
        <v>1472</v>
      </c>
      <c r="D45" s="17">
        <v>1472</v>
      </c>
      <c r="E45" s="18">
        <f t="shared" si="20"/>
        <v>1</v>
      </c>
      <c r="F45" s="339">
        <v>1350</v>
      </c>
      <c r="G45" s="17">
        <f t="shared" si="21"/>
        <v>122</v>
      </c>
      <c r="H45" s="18">
        <f t="shared" si="9"/>
        <v>0.0903703703703704</v>
      </c>
      <c r="I45" s="344"/>
      <c r="J45" s="17">
        <f t="shared" si="4"/>
        <v>-1472</v>
      </c>
      <c r="K45" s="18">
        <f t="shared" si="14"/>
        <v>-1</v>
      </c>
      <c r="M45" s="138">
        <f>D42+D68</f>
        <v>286783.7</v>
      </c>
    </row>
    <row r="46" ht="20.25" customHeight="1" spans="1:11">
      <c r="A46" s="337" t="s">
        <v>56</v>
      </c>
      <c r="B46" s="17">
        <v>10215</v>
      </c>
      <c r="C46" s="17">
        <v>10215</v>
      </c>
      <c r="D46" s="138">
        <f>366+10210</f>
        <v>10576</v>
      </c>
      <c r="E46" s="18">
        <f t="shared" si="20"/>
        <v>1.03534018600098</v>
      </c>
      <c r="F46" s="339">
        <v>10215</v>
      </c>
      <c r="G46" s="17">
        <f t="shared" si="21"/>
        <v>361</v>
      </c>
      <c r="H46" s="18">
        <f t="shared" si="9"/>
        <v>0.035340186000979</v>
      </c>
      <c r="I46" s="344">
        <v>10516</v>
      </c>
      <c r="J46" s="17">
        <f t="shared" si="4"/>
        <v>-60</v>
      </c>
      <c r="K46" s="18">
        <f t="shared" si="14"/>
        <v>-0.0056732223903177</v>
      </c>
    </row>
    <row r="47" ht="20.25" customHeight="1" spans="1:11">
      <c r="A47" s="321" t="s">
        <v>57</v>
      </c>
      <c r="B47" s="17"/>
      <c r="C47" s="338">
        <v>3492.5</v>
      </c>
      <c r="D47" s="17">
        <v>21588</v>
      </c>
      <c r="E47" s="18">
        <f t="shared" si="20"/>
        <v>6.18124552612742</v>
      </c>
      <c r="F47" s="17">
        <v>35075</v>
      </c>
      <c r="G47" s="17">
        <f t="shared" si="21"/>
        <v>-13487</v>
      </c>
      <c r="H47" s="18">
        <f t="shared" si="9"/>
        <v>-0.384518888096935</v>
      </c>
      <c r="I47" s="17">
        <v>19116</v>
      </c>
      <c r="J47" s="17">
        <f t="shared" si="4"/>
        <v>-2472</v>
      </c>
      <c r="K47" s="18">
        <f t="shared" si="14"/>
        <v>-0.114508060033352</v>
      </c>
    </row>
    <row r="48" ht="31.05" customHeight="1" spans="1:11">
      <c r="A48" s="321" t="s">
        <v>58</v>
      </c>
      <c r="B48" s="17">
        <v>13337</v>
      </c>
      <c r="C48" s="17">
        <f>10790+3389</f>
        <v>14179</v>
      </c>
      <c r="D48" s="17">
        <f>3389+10790</f>
        <v>14179</v>
      </c>
      <c r="E48" s="18">
        <f t="shared" si="20"/>
        <v>1</v>
      </c>
      <c r="F48" s="17">
        <v>20461</v>
      </c>
      <c r="G48" s="17">
        <f t="shared" si="21"/>
        <v>-6282</v>
      </c>
      <c r="H48" s="18">
        <f t="shared" si="9"/>
        <v>-0.307023117149699</v>
      </c>
      <c r="I48" s="344">
        <f>10790+3389</f>
        <v>14179</v>
      </c>
      <c r="J48" s="17">
        <f t="shared" si="4"/>
        <v>0</v>
      </c>
      <c r="K48" s="18">
        <f t="shared" si="14"/>
        <v>0</v>
      </c>
    </row>
    <row r="49" ht="21.75" customHeight="1" spans="1:11">
      <c r="A49" s="321" t="s">
        <v>59</v>
      </c>
      <c r="B49" s="17">
        <v>336</v>
      </c>
      <c r="C49" s="17">
        <v>336</v>
      </c>
      <c r="D49" s="17">
        <f>337+3811</f>
        <v>4148</v>
      </c>
      <c r="E49" s="18">
        <f t="shared" si="20"/>
        <v>12.3452380952381</v>
      </c>
      <c r="F49" s="17">
        <v>7454</v>
      </c>
      <c r="G49" s="17">
        <f t="shared" si="21"/>
        <v>-3306</v>
      </c>
      <c r="H49" s="18">
        <f t="shared" si="9"/>
        <v>-0.443520257579823</v>
      </c>
      <c r="I49" s="343">
        <v>336</v>
      </c>
      <c r="J49" s="17">
        <f t="shared" si="4"/>
        <v>-3812</v>
      </c>
      <c r="K49" s="18">
        <f t="shared" si="14"/>
        <v>-0.918997107039537</v>
      </c>
    </row>
    <row r="50" ht="26" customHeight="1" spans="1:11">
      <c r="A50" s="321" t="s">
        <v>60</v>
      </c>
      <c r="B50" s="17"/>
      <c r="C50" s="338">
        <f>4098-1850</f>
        <v>2248</v>
      </c>
      <c r="D50" s="17"/>
      <c r="E50" s="18"/>
      <c r="F50" s="17"/>
      <c r="G50" s="17">
        <f t="shared" si="21"/>
        <v>0</v>
      </c>
      <c r="H50" s="18"/>
      <c r="I50" s="17"/>
      <c r="J50" s="17">
        <f t="shared" si="4"/>
        <v>0</v>
      </c>
      <c r="K50" s="18"/>
    </row>
    <row r="51" ht="21.75" customHeight="1" spans="1:11">
      <c r="A51" s="321" t="s">
        <v>61</v>
      </c>
      <c r="B51" s="340"/>
      <c r="C51" s="338"/>
      <c r="E51" s="18"/>
      <c r="F51" s="17"/>
      <c r="G51" s="17">
        <f t="shared" si="21"/>
        <v>0</v>
      </c>
      <c r="H51" s="18"/>
      <c r="I51" s="340"/>
      <c r="J51" s="17">
        <f t="shared" si="4"/>
        <v>0</v>
      </c>
      <c r="K51" s="18"/>
    </row>
    <row r="52" ht="21.75" customHeight="1" spans="1:11">
      <c r="A52" s="321" t="s">
        <v>62</v>
      </c>
      <c r="B52" s="340"/>
      <c r="C52" s="338"/>
      <c r="D52" s="17"/>
      <c r="E52" s="18"/>
      <c r="F52" s="17"/>
      <c r="G52" s="17">
        <f t="shared" si="21"/>
        <v>0</v>
      </c>
      <c r="H52" s="18"/>
      <c r="I52" s="340"/>
      <c r="J52" s="17">
        <f t="shared" si="4"/>
        <v>0</v>
      </c>
      <c r="K52" s="18"/>
    </row>
    <row r="53" ht="28.05" customHeight="1" spans="1:11">
      <c r="A53" s="321" t="s">
        <v>63</v>
      </c>
      <c r="B53" s="340"/>
      <c r="C53" s="338"/>
      <c r="D53" s="17"/>
      <c r="E53" s="18"/>
      <c r="F53" s="17"/>
      <c r="G53" s="17">
        <f t="shared" si="21"/>
        <v>0</v>
      </c>
      <c r="H53" s="18"/>
      <c r="I53" s="340"/>
      <c r="J53" s="17">
        <f t="shared" si="4"/>
        <v>0</v>
      </c>
      <c r="K53" s="18"/>
    </row>
    <row r="54" ht="30" customHeight="1" spans="1:11">
      <c r="A54" s="321" t="s">
        <v>64</v>
      </c>
      <c r="B54" s="340"/>
      <c r="C54" s="338"/>
      <c r="D54" s="17"/>
      <c r="E54" s="18"/>
      <c r="F54" s="17"/>
      <c r="G54" s="17">
        <f t="shared" si="21"/>
        <v>0</v>
      </c>
      <c r="H54" s="18"/>
      <c r="I54" s="340"/>
      <c r="J54" s="17">
        <f t="shared" si="4"/>
        <v>0</v>
      </c>
      <c r="K54" s="18"/>
    </row>
    <row r="55" ht="28" customHeight="1" spans="1:11">
      <c r="A55" s="321" t="s">
        <v>65</v>
      </c>
      <c r="B55" s="341">
        <v>905.7</v>
      </c>
      <c r="C55" s="338">
        <v>1383.94</v>
      </c>
      <c r="D55" s="17">
        <v>2232</v>
      </c>
      <c r="E55" s="18"/>
      <c r="F55" s="342">
        <v>2198</v>
      </c>
      <c r="G55" s="17">
        <f t="shared" ref="G55:G67" si="22">D55-F55</f>
        <v>34</v>
      </c>
      <c r="H55" s="18">
        <f t="shared" ref="H52:H83" si="23">G55/F55</f>
        <v>0.0154686078252957</v>
      </c>
      <c r="I55" s="341"/>
      <c r="J55" s="17">
        <f t="shared" si="4"/>
        <v>-2232</v>
      </c>
      <c r="K55" s="18">
        <f t="shared" ref="K55:K69" si="24">J55/D55</f>
        <v>-1</v>
      </c>
    </row>
    <row r="56" ht="27" customHeight="1" spans="1:11">
      <c r="A56" s="321" t="s">
        <v>66</v>
      </c>
      <c r="B56" s="341">
        <v>8921.47</v>
      </c>
      <c r="C56" s="338">
        <v>14601.92</v>
      </c>
      <c r="D56" s="17">
        <v>14949</v>
      </c>
      <c r="E56" s="18"/>
      <c r="F56" s="342">
        <v>16369</v>
      </c>
      <c r="G56" s="17">
        <f t="shared" si="22"/>
        <v>-1420</v>
      </c>
      <c r="H56" s="18">
        <f t="shared" si="23"/>
        <v>-0.0867493432708168</v>
      </c>
      <c r="I56" s="341">
        <v>13281.3</v>
      </c>
      <c r="J56" s="17">
        <f t="shared" si="4"/>
        <v>-1667.7</v>
      </c>
      <c r="K56" s="18">
        <f t="shared" si="24"/>
        <v>-0.111559301625527</v>
      </c>
    </row>
    <row r="57" ht="30" customHeight="1" spans="1:11">
      <c r="A57" s="321" t="s">
        <v>67</v>
      </c>
      <c r="B57" s="341">
        <v>613.6</v>
      </c>
      <c r="C57" s="338">
        <v>675.18</v>
      </c>
      <c r="D57" s="17">
        <v>622</v>
      </c>
      <c r="E57" s="18"/>
      <c r="F57" s="342">
        <v>614</v>
      </c>
      <c r="G57" s="17">
        <f t="shared" si="22"/>
        <v>8</v>
      </c>
      <c r="H57" s="18">
        <f t="shared" si="23"/>
        <v>0.0130293159609121</v>
      </c>
      <c r="I57" s="341">
        <v>373.68</v>
      </c>
      <c r="J57" s="17">
        <f t="shared" si="4"/>
        <v>-248.32</v>
      </c>
      <c r="K57" s="18">
        <f t="shared" si="24"/>
        <v>-0.399228295819936</v>
      </c>
    </row>
    <row r="58" ht="30" customHeight="1" spans="1:11">
      <c r="A58" s="321" t="s">
        <v>68</v>
      </c>
      <c r="B58" s="341">
        <v>5261</v>
      </c>
      <c r="C58" s="338">
        <v>20109.05</v>
      </c>
      <c r="D58" s="17">
        <v>19671</v>
      </c>
      <c r="E58" s="18"/>
      <c r="F58" s="342">
        <v>19841</v>
      </c>
      <c r="G58" s="17">
        <f t="shared" si="22"/>
        <v>-170</v>
      </c>
      <c r="H58" s="18">
        <f t="shared" si="23"/>
        <v>-0.00856811652638476</v>
      </c>
      <c r="I58" s="341">
        <v>19994.44</v>
      </c>
      <c r="J58" s="17">
        <f t="shared" si="4"/>
        <v>323.439999999999</v>
      </c>
      <c r="K58" s="18">
        <f t="shared" si="24"/>
        <v>0.0164424787758629</v>
      </c>
    </row>
    <row r="59" ht="30" customHeight="1" spans="1:11">
      <c r="A59" s="321" t="s">
        <v>69</v>
      </c>
      <c r="B59" s="341">
        <v>16298</v>
      </c>
      <c r="C59" s="338">
        <f>6321.54-1814.35</f>
        <v>4507.19</v>
      </c>
      <c r="D59" s="17">
        <v>7533</v>
      </c>
      <c r="E59" s="18"/>
      <c r="F59" s="342">
        <v>23865</v>
      </c>
      <c r="G59" s="17">
        <f t="shared" si="22"/>
        <v>-16332</v>
      </c>
      <c r="H59" s="18">
        <f t="shared" si="23"/>
        <v>-0.684349465744815</v>
      </c>
      <c r="I59" s="341">
        <v>4614.86</v>
      </c>
      <c r="J59" s="17">
        <f t="shared" si="4"/>
        <v>-2918.14</v>
      </c>
      <c r="K59" s="18">
        <f t="shared" si="24"/>
        <v>-0.387380857560069</v>
      </c>
    </row>
    <row r="60" ht="30" customHeight="1" spans="1:11">
      <c r="A60" s="321" t="s">
        <v>70</v>
      </c>
      <c r="B60" s="341">
        <v>2750</v>
      </c>
      <c r="C60" s="338">
        <v>2785.36</v>
      </c>
      <c r="D60" s="17">
        <v>2794</v>
      </c>
      <c r="E60" s="18"/>
      <c r="F60" s="342">
        <v>2750</v>
      </c>
      <c r="G60" s="17">
        <f t="shared" si="22"/>
        <v>44</v>
      </c>
      <c r="H60" s="18">
        <f t="shared" si="23"/>
        <v>0.016</v>
      </c>
      <c r="I60" s="341">
        <v>1549.17</v>
      </c>
      <c r="J60" s="17">
        <f t="shared" si="4"/>
        <v>-1244.83</v>
      </c>
      <c r="K60" s="18">
        <f t="shared" si="24"/>
        <v>-0.445536864710093</v>
      </c>
    </row>
    <row r="61" ht="30" customHeight="1" spans="1:11">
      <c r="A61" s="321" t="s">
        <v>71</v>
      </c>
      <c r="B61" s="341">
        <v>21555.45</v>
      </c>
      <c r="C61" s="338">
        <v>25395.12</v>
      </c>
      <c r="D61" s="17">
        <v>27022</v>
      </c>
      <c r="E61" s="18"/>
      <c r="F61" s="342">
        <v>21605</v>
      </c>
      <c r="G61" s="17">
        <f t="shared" si="22"/>
        <v>5417</v>
      </c>
      <c r="H61" s="18">
        <f t="shared" si="23"/>
        <v>0.250728997917149</v>
      </c>
      <c r="I61" s="341">
        <v>11093.71</v>
      </c>
      <c r="J61" s="17">
        <f t="shared" si="4"/>
        <v>-15928.29</v>
      </c>
      <c r="K61" s="18">
        <f t="shared" si="24"/>
        <v>-0.589456368884613</v>
      </c>
    </row>
    <row r="62" ht="27" customHeight="1" spans="1:11">
      <c r="A62" s="321" t="s">
        <v>72</v>
      </c>
      <c r="B62" s="341">
        <v>1074</v>
      </c>
      <c r="C62" s="338">
        <v>16674</v>
      </c>
      <c r="D62" s="17">
        <v>17326</v>
      </c>
      <c r="E62" s="18"/>
      <c r="F62" s="342">
        <v>1074</v>
      </c>
      <c r="G62" s="17">
        <f t="shared" si="22"/>
        <v>16252</v>
      </c>
      <c r="H62" s="18">
        <f t="shared" si="23"/>
        <v>15.1322160148976</v>
      </c>
      <c r="I62" s="341"/>
      <c r="J62" s="17">
        <f t="shared" si="4"/>
        <v>-17326</v>
      </c>
      <c r="K62" s="18">
        <f t="shared" si="24"/>
        <v>-1</v>
      </c>
    </row>
    <row r="63" ht="27" customHeight="1" spans="1:11">
      <c r="A63" s="321" t="s">
        <v>73</v>
      </c>
      <c r="B63" s="341">
        <v>743.88</v>
      </c>
      <c r="C63" s="338">
        <v>150.66</v>
      </c>
      <c r="D63" s="17">
        <v>151</v>
      </c>
      <c r="E63" s="18"/>
      <c r="F63" s="342">
        <v>744</v>
      </c>
      <c r="G63" s="17">
        <f t="shared" si="22"/>
        <v>-593</v>
      </c>
      <c r="H63" s="18">
        <f t="shared" si="23"/>
        <v>-0.797043010752688</v>
      </c>
      <c r="I63" s="341">
        <v>183.56</v>
      </c>
      <c r="J63" s="17">
        <f t="shared" si="4"/>
        <v>32.56</v>
      </c>
      <c r="K63" s="18">
        <f t="shared" si="24"/>
        <v>0.215629139072848</v>
      </c>
    </row>
    <row r="64" ht="28" customHeight="1" spans="1:11">
      <c r="A64" s="321" t="s">
        <v>74</v>
      </c>
      <c r="B64" s="341"/>
      <c r="C64" s="338"/>
      <c r="D64" s="17">
        <v>0</v>
      </c>
      <c r="E64" s="18"/>
      <c r="F64" s="17"/>
      <c r="G64" s="17">
        <f t="shared" si="22"/>
        <v>0</v>
      </c>
      <c r="H64" s="18" t="e">
        <f t="shared" si="23"/>
        <v>#DIV/0!</v>
      </c>
      <c r="I64" s="341"/>
      <c r="J64" s="17">
        <f t="shared" si="4"/>
        <v>0</v>
      </c>
      <c r="K64" s="18" t="e">
        <f t="shared" si="24"/>
        <v>#DIV/0!</v>
      </c>
    </row>
    <row r="65" ht="24" customHeight="1" spans="1:11">
      <c r="A65" s="321" t="s">
        <v>75</v>
      </c>
      <c r="B65" s="17">
        <v>7544</v>
      </c>
      <c r="C65" s="17">
        <v>7439</v>
      </c>
      <c r="D65" s="17">
        <f>4242+3197</f>
        <v>7439</v>
      </c>
      <c r="E65" s="18">
        <f t="shared" ref="E65:E69" si="25">D65/C65</f>
        <v>1</v>
      </c>
      <c r="F65" s="17">
        <v>7544</v>
      </c>
      <c r="G65" s="17">
        <f t="shared" si="22"/>
        <v>-105</v>
      </c>
      <c r="H65" s="18">
        <f t="shared" si="23"/>
        <v>-0.0139183457051962</v>
      </c>
      <c r="I65" s="344">
        <v>7439</v>
      </c>
      <c r="J65" s="17">
        <f t="shared" si="4"/>
        <v>0</v>
      </c>
      <c r="K65" s="18">
        <f t="shared" si="24"/>
        <v>0</v>
      </c>
    </row>
    <row r="66" ht="21.75" customHeight="1" spans="1:11">
      <c r="A66" s="321" t="s">
        <v>76</v>
      </c>
      <c r="B66" s="17">
        <v>13099</v>
      </c>
      <c r="C66" s="17">
        <v>13099</v>
      </c>
      <c r="D66" s="17">
        <v>13099</v>
      </c>
      <c r="E66" s="18">
        <f t="shared" si="25"/>
        <v>1</v>
      </c>
      <c r="F66" s="17">
        <v>13099</v>
      </c>
      <c r="G66" s="17">
        <f t="shared" si="22"/>
        <v>0</v>
      </c>
      <c r="H66" s="18">
        <f t="shared" si="23"/>
        <v>0</v>
      </c>
      <c r="I66" s="344">
        <v>13108</v>
      </c>
      <c r="J66" s="17">
        <f t="shared" si="4"/>
        <v>9</v>
      </c>
      <c r="K66" s="18">
        <f t="shared" si="24"/>
        <v>0.000687075349263303</v>
      </c>
    </row>
    <row r="67" ht="21.75" customHeight="1" spans="1:11">
      <c r="A67" s="321" t="s">
        <v>77</v>
      </c>
      <c r="B67" s="17">
        <v>384.62</v>
      </c>
      <c r="C67" s="17">
        <v>385</v>
      </c>
      <c r="D67" s="17">
        <v>1169</v>
      </c>
      <c r="E67" s="18"/>
      <c r="F67" s="342">
        <f>8284+735+98</f>
        <v>9117</v>
      </c>
      <c r="G67" s="17">
        <f t="shared" si="22"/>
        <v>-7948</v>
      </c>
      <c r="H67" s="18">
        <f t="shared" si="23"/>
        <v>-0.871777997148185</v>
      </c>
      <c r="I67" s="350">
        <v>385</v>
      </c>
      <c r="J67" s="17">
        <f t="shared" si="4"/>
        <v>-784</v>
      </c>
      <c r="K67" s="18">
        <f t="shared" si="24"/>
        <v>-0.67065868263473</v>
      </c>
    </row>
    <row r="68" ht="21.75" customHeight="1" spans="1:11">
      <c r="A68" s="332" t="s">
        <v>78</v>
      </c>
      <c r="B68" s="301">
        <f t="shared" ref="B68:F68" si="26">SUM(B69:B89)</f>
        <v>96729.91</v>
      </c>
      <c r="C68" s="301">
        <f t="shared" si="26"/>
        <v>66979.93</v>
      </c>
      <c r="D68" s="301">
        <f t="shared" si="26"/>
        <v>61161.7</v>
      </c>
      <c r="E68" s="18">
        <f t="shared" si="25"/>
        <v>0.91313472558123</v>
      </c>
      <c r="F68" s="301">
        <f t="shared" si="26"/>
        <v>53370</v>
      </c>
      <c r="G68" s="17">
        <f t="shared" ref="G68:G90" si="27">D68-F68</f>
        <v>7791.7</v>
      </c>
      <c r="H68" s="18">
        <f t="shared" si="23"/>
        <v>0.145994004122166</v>
      </c>
      <c r="I68" s="301">
        <f>SUM(I69:I89)</f>
        <v>10717.43</v>
      </c>
      <c r="J68" s="17">
        <f t="shared" si="4"/>
        <v>-50444.27</v>
      </c>
      <c r="K68" s="18">
        <f t="shared" si="24"/>
        <v>-0.824768932191224</v>
      </c>
    </row>
    <row r="69" ht="21.75" customHeight="1" spans="1:12">
      <c r="A69" s="321" t="s">
        <v>79</v>
      </c>
      <c r="B69" s="17">
        <v>127.78</v>
      </c>
      <c r="C69" s="17">
        <v>817</v>
      </c>
      <c r="D69" s="345">
        <f>86+43+184+46</f>
        <v>359</v>
      </c>
      <c r="E69" s="18">
        <f t="shared" si="25"/>
        <v>0.439412484700122</v>
      </c>
      <c r="F69" s="342">
        <v>103</v>
      </c>
      <c r="G69" s="17">
        <f t="shared" si="27"/>
        <v>256</v>
      </c>
      <c r="H69" s="18">
        <f t="shared" si="23"/>
        <v>2.48543689320388</v>
      </c>
      <c r="I69" s="17"/>
      <c r="J69" s="17">
        <f t="shared" ref="J69:J90" si="28">I69-D69</f>
        <v>-359</v>
      </c>
      <c r="K69" s="18">
        <f t="shared" si="24"/>
        <v>-1</v>
      </c>
      <c r="L69" s="138">
        <f>43+86</f>
        <v>129</v>
      </c>
    </row>
    <row r="70" ht="21.75" customHeight="1" spans="1:11">
      <c r="A70" s="321" t="s">
        <v>80</v>
      </c>
      <c r="B70" s="17"/>
      <c r="C70" s="17"/>
      <c r="D70" s="17"/>
      <c r="E70" s="18"/>
      <c r="F70" s="17"/>
      <c r="G70" s="17">
        <f t="shared" si="27"/>
        <v>0</v>
      </c>
      <c r="H70" s="18"/>
      <c r="I70" s="17"/>
      <c r="J70" s="17">
        <f t="shared" si="28"/>
        <v>0</v>
      </c>
      <c r="K70" s="18"/>
    </row>
    <row r="71" ht="21.75" customHeight="1" spans="1:12">
      <c r="A71" s="321" t="s">
        <v>81</v>
      </c>
      <c r="B71" s="17">
        <v>0</v>
      </c>
      <c r="C71" s="17">
        <v>41</v>
      </c>
      <c r="D71" s="17">
        <v>68</v>
      </c>
      <c r="E71" s="18"/>
      <c r="F71" s="17"/>
      <c r="G71" s="17">
        <f t="shared" si="27"/>
        <v>68</v>
      </c>
      <c r="H71" s="18"/>
      <c r="I71" s="17"/>
      <c r="J71" s="17">
        <f t="shared" si="28"/>
        <v>-68</v>
      </c>
      <c r="K71" s="18"/>
      <c r="L71" s="138">
        <v>68</v>
      </c>
    </row>
    <row r="72" ht="21.75" customHeight="1" spans="1:11">
      <c r="A72" s="321" t="s">
        <v>82</v>
      </c>
      <c r="B72" s="17">
        <v>1000</v>
      </c>
      <c r="C72" s="17">
        <v>501.85</v>
      </c>
      <c r="D72" s="346">
        <f>135+4</f>
        <v>139</v>
      </c>
      <c r="E72" s="18"/>
      <c r="F72" s="342">
        <v>1124</v>
      </c>
      <c r="G72" s="17">
        <f t="shared" si="27"/>
        <v>-985</v>
      </c>
      <c r="H72" s="18">
        <f t="shared" si="23"/>
        <v>-0.876334519572954</v>
      </c>
      <c r="I72" s="17"/>
      <c r="J72" s="17">
        <f t="shared" si="28"/>
        <v>-139</v>
      </c>
      <c r="K72" s="18">
        <f t="shared" ref="K72:K83" si="29">J72/D72</f>
        <v>-1</v>
      </c>
    </row>
    <row r="73" ht="21.75" customHeight="1" spans="1:12">
      <c r="A73" s="321" t="s">
        <v>83</v>
      </c>
      <c r="B73" s="347">
        <v>7742</v>
      </c>
      <c r="C73" s="348">
        <v>3168</v>
      </c>
      <c r="D73" s="346">
        <f>30+3168+3.7</f>
        <v>3201.7</v>
      </c>
      <c r="E73" s="18">
        <f t="shared" ref="E73:E83" si="30">D73/C73</f>
        <v>1.01063762626263</v>
      </c>
      <c r="F73" s="342">
        <v>745</v>
      </c>
      <c r="G73" s="17">
        <f t="shared" si="27"/>
        <v>2456.7</v>
      </c>
      <c r="H73" s="18">
        <f t="shared" si="23"/>
        <v>3.29758389261745</v>
      </c>
      <c r="I73" s="347"/>
      <c r="J73" s="17">
        <f t="shared" si="28"/>
        <v>-3201.7</v>
      </c>
      <c r="K73" s="18">
        <f t="shared" si="29"/>
        <v>-1</v>
      </c>
      <c r="L73" s="138">
        <v>30</v>
      </c>
    </row>
    <row r="74" ht="21.75" customHeight="1" spans="1:12">
      <c r="A74" s="321" t="s">
        <v>84</v>
      </c>
      <c r="B74" s="347">
        <v>0</v>
      </c>
      <c r="C74" s="348">
        <v>10</v>
      </c>
      <c r="D74" s="346">
        <f>10+200</f>
        <v>210</v>
      </c>
      <c r="E74" s="18">
        <f t="shared" si="30"/>
        <v>21</v>
      </c>
      <c r="F74" s="300"/>
      <c r="G74" s="17">
        <f t="shared" si="27"/>
        <v>210</v>
      </c>
      <c r="H74" s="18"/>
      <c r="I74" s="347"/>
      <c r="J74" s="17">
        <f t="shared" si="28"/>
        <v>-210</v>
      </c>
      <c r="K74" s="18"/>
      <c r="L74" s="138">
        <v>10</v>
      </c>
    </row>
    <row r="75" ht="21.75" customHeight="1" spans="1:12">
      <c r="A75" s="321" t="s">
        <v>85</v>
      </c>
      <c r="B75" s="347">
        <v>681.4</v>
      </c>
      <c r="C75" s="348">
        <v>10</v>
      </c>
      <c r="D75" s="346">
        <f>170+10+3.45</f>
        <v>183.45</v>
      </c>
      <c r="E75" s="18">
        <f t="shared" si="30"/>
        <v>18.345</v>
      </c>
      <c r="F75" s="342">
        <v>918</v>
      </c>
      <c r="G75" s="17">
        <f t="shared" si="27"/>
        <v>-734.55</v>
      </c>
      <c r="H75" s="18">
        <f t="shared" si="23"/>
        <v>-0.80016339869281</v>
      </c>
      <c r="I75" s="347">
        <v>155</v>
      </c>
      <c r="J75" s="17">
        <f t="shared" si="28"/>
        <v>-28.45</v>
      </c>
      <c r="K75" s="18">
        <f t="shared" si="29"/>
        <v>-0.155083128917961</v>
      </c>
      <c r="L75" s="138">
        <v>180</v>
      </c>
    </row>
    <row r="76" ht="21.75" customHeight="1" spans="1:12">
      <c r="A76" s="321" t="s">
        <v>86</v>
      </c>
      <c r="B76" s="347">
        <v>7902.23</v>
      </c>
      <c r="C76" s="348">
        <v>2068.81</v>
      </c>
      <c r="D76" s="346">
        <f>29+527.97+1982+212.47</f>
        <v>2751.44</v>
      </c>
      <c r="E76" s="18">
        <f t="shared" si="30"/>
        <v>1.32996263552477</v>
      </c>
      <c r="F76" s="342">
        <v>455</v>
      </c>
      <c r="G76" s="17">
        <f t="shared" si="27"/>
        <v>2296.44</v>
      </c>
      <c r="H76" s="18">
        <f t="shared" si="23"/>
        <v>5.04712087912088</v>
      </c>
      <c r="I76" s="347">
        <v>268.68</v>
      </c>
      <c r="J76" s="17">
        <f t="shared" si="28"/>
        <v>-2482.76</v>
      </c>
      <c r="K76" s="18">
        <f t="shared" si="29"/>
        <v>-0.902349315267642</v>
      </c>
      <c r="L76" s="138">
        <f>29+527.97</f>
        <v>556.97</v>
      </c>
    </row>
    <row r="77" ht="21.75" customHeight="1" spans="1:11">
      <c r="A77" s="321" t="s">
        <v>87</v>
      </c>
      <c r="B77" s="347">
        <v>5213.98</v>
      </c>
      <c r="C77" s="348">
        <f>1814.35+48</f>
        <v>1862.35</v>
      </c>
      <c r="D77" s="346">
        <f>1125+91.2</f>
        <v>1216.2</v>
      </c>
      <c r="E77" s="18">
        <f t="shared" si="30"/>
        <v>0.653045882889897</v>
      </c>
      <c r="F77" s="342">
        <v>1326</v>
      </c>
      <c r="G77" s="17">
        <f t="shared" si="27"/>
        <v>-109.8</v>
      </c>
      <c r="H77" s="18">
        <f t="shared" si="23"/>
        <v>-0.0828054298642534</v>
      </c>
      <c r="I77" s="347">
        <v>247.58</v>
      </c>
      <c r="J77" s="17">
        <f t="shared" si="28"/>
        <v>-968.62</v>
      </c>
      <c r="K77" s="18">
        <f t="shared" si="29"/>
        <v>-0.796431507975662</v>
      </c>
    </row>
    <row r="78" ht="21.75" customHeight="1" spans="1:11">
      <c r="A78" s="321" t="s">
        <v>88</v>
      </c>
      <c r="B78" s="347">
        <v>1535.36</v>
      </c>
      <c r="C78" s="348">
        <v>1050</v>
      </c>
      <c r="D78" s="346">
        <v>2558</v>
      </c>
      <c r="E78" s="18">
        <f t="shared" si="30"/>
        <v>2.43619047619048</v>
      </c>
      <c r="F78" s="342">
        <v>1164</v>
      </c>
      <c r="G78" s="17">
        <f t="shared" si="27"/>
        <v>1394</v>
      </c>
      <c r="H78" s="18">
        <f t="shared" si="23"/>
        <v>1.19759450171821</v>
      </c>
      <c r="I78" s="347"/>
      <c r="J78" s="17">
        <f t="shared" si="28"/>
        <v>-2558</v>
      </c>
      <c r="K78" s="18">
        <f t="shared" si="29"/>
        <v>-1</v>
      </c>
    </row>
    <row r="79" ht="21.75" customHeight="1" spans="1:11">
      <c r="A79" s="321" t="s">
        <v>89</v>
      </c>
      <c r="B79" s="347">
        <v>4500</v>
      </c>
      <c r="C79" s="348">
        <v>1040</v>
      </c>
      <c r="D79" s="346">
        <f>2182+1124-130</f>
        <v>3176</v>
      </c>
      <c r="E79" s="18">
        <f t="shared" si="30"/>
        <v>3.05384615384615</v>
      </c>
      <c r="F79" s="342">
        <v>2969</v>
      </c>
      <c r="G79" s="17">
        <f t="shared" si="27"/>
        <v>207</v>
      </c>
      <c r="H79" s="18">
        <f t="shared" si="23"/>
        <v>0.0697204445941394</v>
      </c>
      <c r="I79" s="347"/>
      <c r="J79" s="17">
        <f t="shared" si="28"/>
        <v>-3176</v>
      </c>
      <c r="K79" s="18">
        <f t="shared" si="29"/>
        <v>-1</v>
      </c>
    </row>
    <row r="80" ht="21.75" customHeight="1" spans="1:11">
      <c r="A80" s="321" t="s">
        <v>90</v>
      </c>
      <c r="B80" s="347">
        <v>61727.66</v>
      </c>
      <c r="C80" s="348">
        <f>48095.41+5969</f>
        <v>54064.41</v>
      </c>
      <c r="D80" s="346">
        <f>41869.61+188.3</f>
        <v>42057.91</v>
      </c>
      <c r="E80" s="18">
        <f t="shared" si="30"/>
        <v>0.777922296756776</v>
      </c>
      <c r="F80" s="342">
        <v>32869</v>
      </c>
      <c r="G80" s="17">
        <f t="shared" si="27"/>
        <v>9188.91</v>
      </c>
      <c r="H80" s="18">
        <f t="shared" si="23"/>
        <v>0.279561592990356</v>
      </c>
      <c r="I80" s="347">
        <f>2124+1850+1511+4255+26.17</f>
        <v>9766.17</v>
      </c>
      <c r="J80" s="17">
        <f t="shared" si="28"/>
        <v>-32291.74</v>
      </c>
      <c r="K80" s="18">
        <f t="shared" si="29"/>
        <v>-0.767792313027442</v>
      </c>
    </row>
    <row r="81" ht="21.75" customHeight="1" spans="1:11">
      <c r="A81" s="321" t="s">
        <v>91</v>
      </c>
      <c r="B81" s="347">
        <v>3857</v>
      </c>
      <c r="C81" s="348">
        <v>334.85</v>
      </c>
      <c r="D81" s="346">
        <v>508</v>
      </c>
      <c r="E81" s="18">
        <f t="shared" si="30"/>
        <v>1.51709720770494</v>
      </c>
      <c r="F81" s="342">
        <v>4664</v>
      </c>
      <c r="G81" s="17">
        <f t="shared" si="27"/>
        <v>-4156</v>
      </c>
      <c r="H81" s="18">
        <f t="shared" si="23"/>
        <v>-0.891080617495712</v>
      </c>
      <c r="I81" s="347">
        <v>280</v>
      </c>
      <c r="J81" s="17">
        <f t="shared" si="28"/>
        <v>-228</v>
      </c>
      <c r="K81" s="18">
        <f t="shared" si="29"/>
        <v>-0.448818897637795</v>
      </c>
    </row>
    <row r="82" ht="21.75" customHeight="1" spans="1:11">
      <c r="A82" s="321" t="s">
        <v>92</v>
      </c>
      <c r="B82" s="347">
        <v>380</v>
      </c>
      <c r="C82" s="348">
        <v>1085.8</v>
      </c>
      <c r="D82" s="346">
        <v>932</v>
      </c>
      <c r="E82" s="18">
        <f t="shared" si="30"/>
        <v>0.858353287898324</v>
      </c>
      <c r="F82" s="342">
        <v>930</v>
      </c>
      <c r="G82" s="17">
        <f t="shared" si="27"/>
        <v>2</v>
      </c>
      <c r="H82" s="18">
        <f t="shared" si="23"/>
        <v>0.0021505376344086</v>
      </c>
      <c r="I82" s="347"/>
      <c r="J82" s="17">
        <f t="shared" si="28"/>
        <v>-932</v>
      </c>
      <c r="K82" s="18">
        <f t="shared" si="29"/>
        <v>-1</v>
      </c>
    </row>
    <row r="83" ht="21.75" customHeight="1" spans="1:11">
      <c r="A83" s="321" t="s">
        <v>93</v>
      </c>
      <c r="B83" s="347">
        <v>800</v>
      </c>
      <c r="C83" s="348">
        <v>301.83</v>
      </c>
      <c r="D83" s="346">
        <v>487</v>
      </c>
      <c r="E83" s="18">
        <f t="shared" si="30"/>
        <v>1.61349103800152</v>
      </c>
      <c r="F83" s="342">
        <v>972</v>
      </c>
      <c r="G83" s="17">
        <f t="shared" si="27"/>
        <v>-485</v>
      </c>
      <c r="H83" s="18">
        <f t="shared" si="23"/>
        <v>-0.498971193415638</v>
      </c>
      <c r="I83" s="347"/>
      <c r="J83" s="17">
        <f t="shared" si="28"/>
        <v>-487</v>
      </c>
      <c r="K83" s="18">
        <f t="shared" si="29"/>
        <v>-1</v>
      </c>
    </row>
    <row r="84" ht="21.75" customHeight="1" spans="1:12">
      <c r="A84" s="321" t="s">
        <v>94</v>
      </c>
      <c r="B84" s="347"/>
      <c r="C84" s="348">
        <v>146.09</v>
      </c>
      <c r="D84" s="346">
        <f>544+429</f>
        <v>973</v>
      </c>
      <c r="E84" s="18"/>
      <c r="F84" s="17"/>
      <c r="G84" s="17">
        <f t="shared" si="27"/>
        <v>973</v>
      </c>
      <c r="H84" s="18" t="e">
        <f t="shared" ref="H84:H102" si="31">G84/F84</f>
        <v>#DIV/0!</v>
      </c>
      <c r="I84" s="347"/>
      <c r="J84" s="17">
        <f t="shared" si="28"/>
        <v>-973</v>
      </c>
      <c r="K84" s="18"/>
      <c r="L84" s="138">
        <f>274+270</f>
        <v>544</v>
      </c>
    </row>
    <row r="85" ht="21.75" customHeight="1" spans="1:11">
      <c r="A85" s="321" t="s">
        <v>95</v>
      </c>
      <c r="B85" s="347"/>
      <c r="C85" s="348">
        <v>382.94</v>
      </c>
      <c r="D85" s="346">
        <v>383</v>
      </c>
      <c r="E85" s="18">
        <f t="shared" ref="E85:E88" si="32">D85/C85</f>
        <v>1.00015668250901</v>
      </c>
      <c r="F85" s="342">
        <v>2191</v>
      </c>
      <c r="G85" s="17">
        <f t="shared" si="27"/>
        <v>-1808</v>
      </c>
      <c r="H85" s="18">
        <f t="shared" si="31"/>
        <v>-0.82519397535372</v>
      </c>
      <c r="I85" s="347"/>
      <c r="J85" s="17">
        <f t="shared" si="28"/>
        <v>-383</v>
      </c>
      <c r="K85" s="18">
        <f t="shared" ref="K85:K89" si="33">J85/D85</f>
        <v>-1</v>
      </c>
    </row>
    <row r="86" ht="21.75" customHeight="1" spans="1:11">
      <c r="A86" s="321" t="s">
        <v>96</v>
      </c>
      <c r="B86" s="347">
        <v>1236.12</v>
      </c>
      <c r="C86" s="348"/>
      <c r="D86" s="346"/>
      <c r="E86" s="18" t="e">
        <f t="shared" si="32"/>
        <v>#DIV/0!</v>
      </c>
      <c r="F86" s="300"/>
      <c r="G86" s="17">
        <f t="shared" si="27"/>
        <v>0</v>
      </c>
      <c r="H86" s="18" t="e">
        <f t="shared" si="31"/>
        <v>#DIV/0!</v>
      </c>
      <c r="I86" s="347"/>
      <c r="J86" s="17">
        <f t="shared" si="28"/>
        <v>0</v>
      </c>
      <c r="K86" s="18"/>
    </row>
    <row r="87" ht="21.75" customHeight="1" spans="1:11">
      <c r="A87" s="321" t="s">
        <v>97</v>
      </c>
      <c r="B87" s="347"/>
      <c r="C87" s="348">
        <v>80</v>
      </c>
      <c r="D87" s="346">
        <f>239+91</f>
        <v>330</v>
      </c>
      <c r="E87" s="18"/>
      <c r="F87" s="342"/>
      <c r="G87" s="17">
        <f t="shared" si="27"/>
        <v>330</v>
      </c>
      <c r="H87" s="18" t="e">
        <f t="shared" si="31"/>
        <v>#DIV/0!</v>
      </c>
      <c r="I87" s="347"/>
      <c r="J87" s="17">
        <f t="shared" si="28"/>
        <v>-330</v>
      </c>
      <c r="K87" s="18"/>
    </row>
    <row r="88" ht="21.75" customHeight="1" spans="1:11">
      <c r="A88" s="321" t="s">
        <v>98</v>
      </c>
      <c r="B88" s="17"/>
      <c r="C88" s="17">
        <v>15</v>
      </c>
      <c r="D88" s="300">
        <v>53</v>
      </c>
      <c r="E88" s="18">
        <f t="shared" si="32"/>
        <v>3.53333333333333</v>
      </c>
      <c r="F88" s="342">
        <v>328</v>
      </c>
      <c r="G88" s="17">
        <f t="shared" si="27"/>
        <v>-275</v>
      </c>
      <c r="H88" s="18">
        <f t="shared" si="31"/>
        <v>-0.838414634146341</v>
      </c>
      <c r="I88" s="17"/>
      <c r="J88" s="17">
        <f t="shared" si="28"/>
        <v>-53</v>
      </c>
      <c r="K88" s="18">
        <f t="shared" si="33"/>
        <v>-1</v>
      </c>
    </row>
    <row r="89" ht="21.75" customHeight="1" spans="1:11">
      <c r="A89" s="321" t="s">
        <v>99</v>
      </c>
      <c r="B89" s="17">
        <v>26.38</v>
      </c>
      <c r="C89" s="17"/>
      <c r="D89" s="17">
        <v>1575</v>
      </c>
      <c r="E89" s="18"/>
      <c r="F89" s="342">
        <v>2612</v>
      </c>
      <c r="G89" s="17">
        <f t="shared" si="27"/>
        <v>-1037</v>
      </c>
      <c r="H89" s="18">
        <f t="shared" si="31"/>
        <v>-0.397013782542113</v>
      </c>
      <c r="I89" s="17"/>
      <c r="J89" s="17">
        <f t="shared" si="28"/>
        <v>-1575</v>
      </c>
      <c r="K89" s="18">
        <f t="shared" si="33"/>
        <v>-1</v>
      </c>
    </row>
    <row r="90" s="317" customFormat="1" ht="21.75" customHeight="1" spans="1:11">
      <c r="A90" s="332" t="s">
        <v>100</v>
      </c>
      <c r="B90" s="301"/>
      <c r="C90" s="301"/>
      <c r="E90" s="18"/>
      <c r="F90" s="301"/>
      <c r="G90" s="17">
        <f t="shared" si="27"/>
        <v>0</v>
      </c>
      <c r="H90" s="18"/>
      <c r="I90" s="301"/>
      <c r="J90" s="17">
        <f t="shared" si="28"/>
        <v>0</v>
      </c>
      <c r="K90" s="18"/>
    </row>
    <row r="91" s="317" customFormat="1" ht="21.75" customHeight="1" spans="1:11">
      <c r="A91" s="349" t="s">
        <v>101</v>
      </c>
      <c r="B91" s="301">
        <f t="shared" ref="B91:D91" si="34">B92+B95</f>
        <v>8590</v>
      </c>
      <c r="C91" s="301">
        <f t="shared" si="34"/>
        <v>8426</v>
      </c>
      <c r="D91" s="301">
        <f t="shared" si="34"/>
        <v>8426</v>
      </c>
      <c r="E91" s="314">
        <v>0.1359</v>
      </c>
      <c r="F91" s="301">
        <f>F92+F95</f>
        <v>25316</v>
      </c>
      <c r="G91" s="301">
        <f t="shared" ref="G91:G101" si="35">D91-F91</f>
        <v>-16890</v>
      </c>
      <c r="H91" s="18">
        <f t="shared" si="31"/>
        <v>-0.667167009006162</v>
      </c>
      <c r="I91" s="301">
        <f>I92+I95</f>
        <v>46176</v>
      </c>
      <c r="J91" s="301"/>
      <c r="K91" s="302">
        <f t="shared" ref="K91:K93" si="36">J91/D91</f>
        <v>0</v>
      </c>
    </row>
    <row r="92" s="317" customFormat="1" ht="21.75" customHeight="1" spans="1:11">
      <c r="A92" s="349" t="s">
        <v>102</v>
      </c>
      <c r="B92" s="301">
        <f>B93+B94</f>
        <v>8590</v>
      </c>
      <c r="C92" s="301">
        <f t="shared" ref="C92:D92" si="37">SUM(C93:C94)</f>
        <v>8426</v>
      </c>
      <c r="D92" s="301">
        <f t="shared" si="37"/>
        <v>8426</v>
      </c>
      <c r="E92" s="302">
        <f>D92/C92</f>
        <v>1</v>
      </c>
      <c r="F92" s="301">
        <f>SUM(F93:F94)</f>
        <v>25316</v>
      </c>
      <c r="G92" s="301">
        <f t="shared" si="35"/>
        <v>-16890</v>
      </c>
      <c r="H92" s="18">
        <f t="shared" si="31"/>
        <v>-0.667167009006162</v>
      </c>
      <c r="I92" s="301">
        <f>I93+I94</f>
        <v>46176</v>
      </c>
      <c r="J92" s="301"/>
      <c r="K92" s="302">
        <f t="shared" si="36"/>
        <v>0</v>
      </c>
    </row>
    <row r="93" ht="21.75" customHeight="1" spans="1:11">
      <c r="A93" s="116" t="s">
        <v>103</v>
      </c>
      <c r="B93" s="17">
        <f>8627-37</f>
        <v>8590</v>
      </c>
      <c r="C93" s="17">
        <v>8426</v>
      </c>
      <c r="D93" s="17">
        <v>8426</v>
      </c>
      <c r="E93" s="18">
        <f>D93/C93</f>
        <v>1</v>
      </c>
      <c r="F93" s="17">
        <v>25316</v>
      </c>
      <c r="G93" s="17">
        <f t="shared" si="35"/>
        <v>-16890</v>
      </c>
      <c r="H93" s="18">
        <f t="shared" si="31"/>
        <v>-0.667167009006162</v>
      </c>
      <c r="I93" s="17">
        <v>46176</v>
      </c>
      <c r="J93" s="17"/>
      <c r="K93" s="18">
        <f t="shared" si="36"/>
        <v>0</v>
      </c>
    </row>
    <row r="94" ht="21.75" customHeight="1" spans="1:11">
      <c r="A94" s="116" t="s">
        <v>104</v>
      </c>
      <c r="B94" s="17"/>
      <c r="C94" s="17"/>
      <c r="D94" s="339"/>
      <c r="E94" s="18"/>
      <c r="F94" s="17"/>
      <c r="G94" s="17">
        <f t="shared" si="35"/>
        <v>0</v>
      </c>
      <c r="H94" s="18"/>
      <c r="I94" s="17"/>
      <c r="J94" s="17">
        <f t="shared" ref="J94:J97" si="38">I94-D94</f>
        <v>0</v>
      </c>
      <c r="K94" s="18"/>
    </row>
    <row r="95" s="317" customFormat="1" ht="21.75" customHeight="1" spans="1:13">
      <c r="A95" s="349" t="s">
        <v>105</v>
      </c>
      <c r="B95" s="17">
        <f>SUM(B96:B97)</f>
        <v>0</v>
      </c>
      <c r="C95" s="17">
        <f>SUM(C96:C97)</f>
        <v>0</v>
      </c>
      <c r="D95" s="301"/>
      <c r="E95" s="18"/>
      <c r="F95" s="17"/>
      <c r="G95" s="17">
        <f t="shared" si="35"/>
        <v>0</v>
      </c>
      <c r="H95" s="18"/>
      <c r="I95" s="17">
        <f>SUM(I96:I97)</f>
        <v>0</v>
      </c>
      <c r="J95" s="17">
        <f t="shared" si="38"/>
        <v>0</v>
      </c>
      <c r="K95" s="18"/>
      <c r="M95" s="317">
        <v>155645</v>
      </c>
    </row>
    <row r="96" ht="21.75" customHeight="1" spans="1:14">
      <c r="A96" s="116" t="s">
        <v>103</v>
      </c>
      <c r="B96" s="17"/>
      <c r="C96" s="17"/>
      <c r="D96" s="17"/>
      <c r="E96" s="18"/>
      <c r="F96" s="17"/>
      <c r="G96" s="17">
        <f t="shared" si="35"/>
        <v>0</v>
      </c>
      <c r="H96" s="18"/>
      <c r="I96" s="17"/>
      <c r="J96" s="17">
        <f t="shared" si="38"/>
        <v>0</v>
      </c>
      <c r="K96" s="18"/>
      <c r="M96" s="138">
        <v>894.4</v>
      </c>
      <c r="N96" s="138" t="s">
        <v>106</v>
      </c>
    </row>
    <row r="97" ht="21.75" customHeight="1" spans="1:13">
      <c r="A97" s="116" t="s">
        <v>104</v>
      </c>
      <c r="B97" s="17"/>
      <c r="C97" s="17"/>
      <c r="D97" s="301"/>
      <c r="E97" s="18"/>
      <c r="F97" s="17"/>
      <c r="G97" s="17">
        <f t="shared" si="35"/>
        <v>0</v>
      </c>
      <c r="H97" s="18"/>
      <c r="I97" s="17"/>
      <c r="J97" s="17">
        <f t="shared" si="38"/>
        <v>0</v>
      </c>
      <c r="K97" s="18"/>
      <c r="M97" s="138">
        <f>SUM(M95:M96)</f>
        <v>156539.4</v>
      </c>
    </row>
    <row r="98" ht="21.75" customHeight="1" spans="1:11">
      <c r="A98" s="349" t="s">
        <v>107</v>
      </c>
      <c r="B98" s="301"/>
      <c r="C98" s="17">
        <v>10000</v>
      </c>
      <c r="D98" s="17">
        <v>13000</v>
      </c>
      <c r="E98" s="18">
        <f>D98/C98</f>
        <v>1.3</v>
      </c>
      <c r="F98" s="17">
        <v>5269</v>
      </c>
      <c r="G98" s="17">
        <f t="shared" si="35"/>
        <v>7731</v>
      </c>
      <c r="H98" s="18">
        <f t="shared" si="31"/>
        <v>1.4672613399127</v>
      </c>
      <c r="I98" s="17"/>
      <c r="J98" s="17"/>
      <c r="K98" s="18"/>
    </row>
    <row r="99" ht="21.75" customHeight="1" spans="1:11">
      <c r="A99" s="349" t="s">
        <v>108</v>
      </c>
      <c r="B99" s="301"/>
      <c r="C99" s="17"/>
      <c r="D99" s="310"/>
      <c r="E99" s="18"/>
      <c r="F99" s="17"/>
      <c r="G99" s="17">
        <f t="shared" si="35"/>
        <v>0</v>
      </c>
      <c r="H99" s="18"/>
      <c r="I99" s="17"/>
      <c r="J99" s="17">
        <f t="shared" ref="J99:J102" si="39">I99-D99</f>
        <v>0</v>
      </c>
      <c r="K99" s="18"/>
    </row>
    <row r="100" ht="21.75" customHeight="1" spans="1:11">
      <c r="A100" s="320" t="s">
        <v>109</v>
      </c>
      <c r="B100" s="301"/>
      <c r="C100" s="17">
        <f>4000+5000+441</f>
        <v>9441</v>
      </c>
      <c r="D100" s="333">
        <f>9441+838+2087</f>
        <v>12366</v>
      </c>
      <c r="E100" s="18">
        <f>D100/C100</f>
        <v>1.30981887511916</v>
      </c>
      <c r="F100" s="17">
        <v>6865</v>
      </c>
      <c r="G100" s="17">
        <f t="shared" si="35"/>
        <v>5501</v>
      </c>
      <c r="H100" s="18">
        <f t="shared" si="31"/>
        <v>0.801310997815004</v>
      </c>
      <c r="I100" s="17"/>
      <c r="J100" s="17"/>
      <c r="K100" s="18"/>
    </row>
    <row r="101" ht="21.75" customHeight="1" spans="1:11">
      <c r="A101" s="349" t="s">
        <v>110</v>
      </c>
      <c r="B101" s="301"/>
      <c r="C101" s="301"/>
      <c r="D101" s="301"/>
      <c r="E101" s="18"/>
      <c r="F101" s="17"/>
      <c r="G101" s="17">
        <f t="shared" si="35"/>
        <v>0</v>
      </c>
      <c r="H101" s="18" t="e">
        <f t="shared" si="31"/>
        <v>#DIV/0!</v>
      </c>
      <c r="I101" s="301"/>
      <c r="J101" s="17">
        <f t="shared" si="39"/>
        <v>0</v>
      </c>
      <c r="K101" s="18"/>
    </row>
    <row r="102" ht="21.75" customHeight="1" spans="1:11">
      <c r="A102" s="349" t="s">
        <v>111</v>
      </c>
      <c r="B102" s="301">
        <f t="shared" ref="B102:D102" si="40">B33+B34</f>
        <v>325370.63</v>
      </c>
      <c r="C102" s="301">
        <f t="shared" si="40"/>
        <v>351824.85</v>
      </c>
      <c r="D102" s="301">
        <f t="shared" si="40"/>
        <v>368095.7</v>
      </c>
      <c r="E102" s="302">
        <f>D102/C102</f>
        <v>1.04624701751454</v>
      </c>
      <c r="F102" s="301">
        <f>F33+F34</f>
        <v>397667</v>
      </c>
      <c r="G102" s="301">
        <v>37177</v>
      </c>
      <c r="H102" s="18">
        <f t="shared" si="31"/>
        <v>0.0934877674033802</v>
      </c>
      <c r="I102" s="301">
        <f>I33+I34</f>
        <v>284245.15</v>
      </c>
      <c r="J102" s="17">
        <f t="shared" si="39"/>
        <v>-83850.55</v>
      </c>
      <c r="K102" s="18">
        <f>J102/D102</f>
        <v>-0.227795516220374</v>
      </c>
    </row>
    <row r="103" ht="24" customHeight="1" spans="4:4">
      <c r="D103" s="285"/>
    </row>
    <row r="104" ht="24" customHeight="1"/>
    <row r="105" ht="24" customHeight="1" spans="9:9">
      <c r="I105" s="351"/>
    </row>
    <row r="106" ht="24" customHeight="1"/>
    <row r="107" ht="24" customHeight="1"/>
    <row r="168" spans="1:1">
      <c r="A168" s="352"/>
    </row>
  </sheetData>
  <mergeCells count="13">
    <mergeCell ref="A2:K2"/>
    <mergeCell ref="J3:K3"/>
    <mergeCell ref="B4:H4"/>
    <mergeCell ref="I4:K4"/>
    <mergeCell ref="G5:H5"/>
    <mergeCell ref="J5:K5"/>
    <mergeCell ref="A4:A6"/>
    <mergeCell ref="B5:B6"/>
    <mergeCell ref="C5:C6"/>
    <mergeCell ref="D5:D6"/>
    <mergeCell ref="E5:E6"/>
    <mergeCell ref="F5:F6"/>
    <mergeCell ref="I5:I6"/>
  </mergeCells>
  <pageMargins left="0.357638888888889" right="0.357638888888889" top="0.409027777777778" bottom="0.60625" header="0.5" footer="0.236111111111111"/>
  <pageSetup paperSize="9" firstPageNumber="20" fitToHeight="0" orientation="landscape" useFirstPageNumber="1" horizontalDpi="600"/>
  <headerFooter>
    <oddFooter>&amp;C- &amp;P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workbookViewId="0">
      <pane ySplit="6" topLeftCell="A38" activePane="bottomLeft" state="frozen"/>
      <selection/>
      <selection pane="bottomLeft" activeCell="A2" sqref="A2:N2"/>
    </sheetView>
  </sheetViews>
  <sheetFormatPr defaultColWidth="8" defaultRowHeight="15.6"/>
  <cols>
    <col min="1" max="1" width="26.462962962963" style="138" customWidth="1"/>
    <col min="2" max="2" width="10.1296296296296" style="138" customWidth="1"/>
    <col min="3" max="3" width="10.3333333333333" style="284" customWidth="1"/>
    <col min="4" max="4" width="9.73148148148148" style="138" customWidth="1"/>
    <col min="5" max="5" width="9.33333333333333" style="285" customWidth="1"/>
    <col min="6" max="6" width="10.1296296296296" style="138" customWidth="1"/>
    <col min="7" max="7" width="0.12962962962963" style="138" customWidth="1"/>
    <col min="8" max="8" width="10.1296296296296" style="138" customWidth="1"/>
    <col min="9" max="9" width="9.60185185185185" style="138" customWidth="1"/>
    <col min="10" max="10" width="9.39814814814815" style="138" customWidth="1"/>
    <col min="11" max="11" width="10.2037037037037" style="138" customWidth="1"/>
    <col min="12" max="12" width="10.462962962963" style="138" customWidth="1"/>
    <col min="13" max="13" width="9.52777777777778" style="138" customWidth="1"/>
    <col min="14" max="14" width="8.66666666666667" style="138" customWidth="1"/>
    <col min="15" max="17" width="8" style="138" hidden="1" customWidth="1"/>
    <col min="18" max="18" width="9.46296296296296" style="138" hidden="1" customWidth="1"/>
    <col min="19" max="19" width="14.3333333333333" style="138" hidden="1" customWidth="1"/>
    <col min="20" max="20" width="8" style="138" hidden="1" customWidth="1"/>
    <col min="21" max="21" width="13.1296296296296" style="138" hidden="1" customWidth="1"/>
    <col min="22" max="22" width="14.3333333333333" style="138" hidden="1" customWidth="1"/>
    <col min="23" max="23" width="13.75" style="138"/>
    <col min="24" max="24" width="10.4444444444444" style="138" hidden="1" customWidth="1"/>
    <col min="25" max="25" width="11.5555555555556" style="138" hidden="1" customWidth="1"/>
    <col min="26" max="16384" width="8" style="138"/>
  </cols>
  <sheetData>
    <row r="1" ht="21" customHeight="1" spans="1:1">
      <c r="A1" s="5" t="s">
        <v>112</v>
      </c>
    </row>
    <row r="2" ht="29.25" customHeight="1" spans="1:14">
      <c r="A2" s="181" t="s">
        <v>113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ht="20.25" customHeight="1" spans="1:12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138" t="s">
        <v>2</v>
      </c>
    </row>
    <row r="4" ht="24.75" customHeight="1" spans="1:14">
      <c r="A4" s="287" t="s">
        <v>3</v>
      </c>
      <c r="B4" s="288" t="s">
        <v>4</v>
      </c>
      <c r="C4" s="289"/>
      <c r="D4" s="289"/>
      <c r="E4" s="289"/>
      <c r="F4" s="289"/>
      <c r="G4" s="289"/>
      <c r="H4" s="289"/>
      <c r="I4" s="289"/>
      <c r="J4" s="289"/>
      <c r="K4" s="294" t="s">
        <v>5</v>
      </c>
      <c r="L4" s="294"/>
      <c r="M4" s="294"/>
      <c r="N4" s="294"/>
    </row>
    <row r="5" ht="36.95" customHeight="1" spans="1:17">
      <c r="A5" s="287"/>
      <c r="B5" s="288" t="s">
        <v>114</v>
      </c>
      <c r="C5" s="290"/>
      <c r="D5" s="291" t="s">
        <v>115</v>
      </c>
      <c r="E5" s="292" t="s">
        <v>8</v>
      </c>
      <c r="F5" s="293" t="s">
        <v>116</v>
      </c>
      <c r="G5" s="293" t="s">
        <v>117</v>
      </c>
      <c r="H5" s="291" t="s">
        <v>10</v>
      </c>
      <c r="I5" s="294" t="s">
        <v>118</v>
      </c>
      <c r="J5" s="288"/>
      <c r="K5" s="291" t="s">
        <v>12</v>
      </c>
      <c r="L5" s="291" t="s">
        <v>119</v>
      </c>
      <c r="M5" s="224" t="s">
        <v>120</v>
      </c>
      <c r="N5" s="224"/>
      <c r="Q5" s="138" t="s">
        <v>121</v>
      </c>
    </row>
    <row r="6" ht="36" customHeight="1" spans="1:21">
      <c r="A6" s="287"/>
      <c r="B6" s="294" t="s">
        <v>122</v>
      </c>
      <c r="C6" s="295" t="s">
        <v>119</v>
      </c>
      <c r="D6" s="296"/>
      <c r="E6" s="297"/>
      <c r="F6" s="298"/>
      <c r="G6" s="298"/>
      <c r="H6" s="296"/>
      <c r="I6" s="294" t="s">
        <v>14</v>
      </c>
      <c r="J6" s="306" t="s">
        <v>16</v>
      </c>
      <c r="K6" s="296"/>
      <c r="L6" s="296"/>
      <c r="M6" s="294" t="s">
        <v>14</v>
      </c>
      <c r="N6" s="294" t="s">
        <v>16</v>
      </c>
      <c r="U6" s="138" t="s">
        <v>123</v>
      </c>
    </row>
    <row r="7" ht="24.75" customHeight="1" spans="1:23">
      <c r="A7" s="66" t="s">
        <v>124</v>
      </c>
      <c r="B7" s="299">
        <v>20398</v>
      </c>
      <c r="C7" s="17">
        <v>20270</v>
      </c>
      <c r="D7" s="17">
        <v>22927</v>
      </c>
      <c r="E7" s="17">
        <v>22723</v>
      </c>
      <c r="F7" s="18">
        <f t="shared" ref="F7:F26" si="0">E7/D7</f>
        <v>0.991102193919833</v>
      </c>
      <c r="G7" s="273">
        <f t="shared" ref="G7:G31" si="1">D7-E7</f>
        <v>204</v>
      </c>
      <c r="H7" s="17">
        <v>24673</v>
      </c>
      <c r="I7" s="17">
        <f t="shared" ref="I7:I26" si="2">E7-H7</f>
        <v>-1950</v>
      </c>
      <c r="J7" s="18">
        <f>I7/H7</f>
        <v>-0.0790337616017509</v>
      </c>
      <c r="K7" s="307">
        <v>21530.951475</v>
      </c>
      <c r="L7" s="308">
        <v>21327.263375</v>
      </c>
      <c r="M7" s="17">
        <f t="shared" ref="M7:M29" si="3">L7-C7</f>
        <v>1057.263375</v>
      </c>
      <c r="N7" s="309">
        <f t="shared" ref="N7:N29" si="4">M7/C7</f>
        <v>0.052159021953626</v>
      </c>
      <c r="S7" s="138">
        <f>D7-E7</f>
        <v>204</v>
      </c>
      <c r="W7" s="315"/>
    </row>
    <row r="8" ht="24.75" customHeight="1" spans="1:23">
      <c r="A8" s="66" t="s">
        <v>125</v>
      </c>
      <c r="B8" s="285"/>
      <c r="C8" s="17"/>
      <c r="D8" s="17"/>
      <c r="E8" s="17"/>
      <c r="F8" s="18"/>
      <c r="G8" s="273">
        <f t="shared" si="1"/>
        <v>0</v>
      </c>
      <c r="H8" s="17"/>
      <c r="I8" s="17">
        <f t="shared" si="2"/>
        <v>0</v>
      </c>
      <c r="J8" s="18"/>
      <c r="K8" s="310"/>
      <c r="L8" s="308"/>
      <c r="M8" s="17">
        <f t="shared" si="3"/>
        <v>0</v>
      </c>
      <c r="N8" s="309"/>
      <c r="S8" s="138">
        <f t="shared" ref="S8:S30" si="5">D8-E8</f>
        <v>0</v>
      </c>
      <c r="W8" s="315"/>
    </row>
    <row r="9" ht="24.75" customHeight="1" spans="1:23">
      <c r="A9" s="66" t="s">
        <v>126</v>
      </c>
      <c r="B9" s="17">
        <v>222</v>
      </c>
      <c r="C9" s="17">
        <v>222</v>
      </c>
      <c r="D9" s="17">
        <v>208</v>
      </c>
      <c r="E9" s="17">
        <v>208</v>
      </c>
      <c r="F9" s="18">
        <f t="shared" si="0"/>
        <v>1</v>
      </c>
      <c r="G9" s="273">
        <f t="shared" si="1"/>
        <v>0</v>
      </c>
      <c r="H9" s="17">
        <v>331</v>
      </c>
      <c r="I9" s="17">
        <f t="shared" si="2"/>
        <v>-123</v>
      </c>
      <c r="J9" s="18">
        <f t="shared" ref="J8:J46" si="6">I9/H9</f>
        <v>-0.371601208459215</v>
      </c>
      <c r="K9" s="311">
        <v>189.14</v>
      </c>
      <c r="L9" s="312">
        <v>189.14</v>
      </c>
      <c r="M9" s="17">
        <f t="shared" si="3"/>
        <v>-32.86</v>
      </c>
      <c r="N9" s="309">
        <f t="shared" si="4"/>
        <v>-0.148018018018018</v>
      </c>
      <c r="S9" s="138">
        <f t="shared" si="5"/>
        <v>0</v>
      </c>
      <c r="W9" s="315"/>
    </row>
    <row r="10" ht="24.75" customHeight="1" spans="1:23">
      <c r="A10" s="66" t="s">
        <v>127</v>
      </c>
      <c r="B10" s="17">
        <v>9845</v>
      </c>
      <c r="C10" s="17">
        <v>7919</v>
      </c>
      <c r="D10" s="17">
        <v>10942.927491</v>
      </c>
      <c r="E10" s="17">
        <v>9879</v>
      </c>
      <c r="F10" s="18">
        <f t="shared" si="0"/>
        <v>0.90277487519907</v>
      </c>
      <c r="G10" s="273">
        <f t="shared" si="1"/>
        <v>1063.927491</v>
      </c>
      <c r="H10" s="17">
        <v>11445</v>
      </c>
      <c r="I10" s="17">
        <f t="shared" si="2"/>
        <v>-1566</v>
      </c>
      <c r="J10" s="18">
        <f t="shared" si="6"/>
        <v>-0.136828309305374</v>
      </c>
      <c r="K10" s="307">
        <v>9759.835178</v>
      </c>
      <c r="L10" s="308">
        <v>8695.505178</v>
      </c>
      <c r="M10" s="17">
        <f t="shared" si="3"/>
        <v>776.505177999999</v>
      </c>
      <c r="N10" s="309">
        <f t="shared" si="4"/>
        <v>0.0980559638843288</v>
      </c>
      <c r="O10" s="138" t="s">
        <v>128</v>
      </c>
      <c r="P10" s="138" t="s">
        <v>129</v>
      </c>
      <c r="Q10" s="138">
        <v>20</v>
      </c>
      <c r="S10" s="138">
        <f t="shared" si="5"/>
        <v>1063.927491</v>
      </c>
      <c r="W10" s="315"/>
    </row>
    <row r="11" ht="24.75" customHeight="1" spans="1:23">
      <c r="A11" s="66" t="s">
        <v>130</v>
      </c>
      <c r="B11" s="17">
        <v>53981</v>
      </c>
      <c r="C11" s="17">
        <v>37318</v>
      </c>
      <c r="D11" s="17">
        <v>56593.30438</v>
      </c>
      <c r="E11" s="17">
        <v>52085</v>
      </c>
      <c r="F11" s="18">
        <f t="shared" si="0"/>
        <v>0.920338555428242</v>
      </c>
      <c r="G11" s="273">
        <f t="shared" si="1"/>
        <v>4508.30438</v>
      </c>
      <c r="H11" s="17">
        <v>51514</v>
      </c>
      <c r="I11" s="17">
        <f t="shared" si="2"/>
        <v>571</v>
      </c>
      <c r="J11" s="18">
        <f t="shared" si="6"/>
        <v>0.0110843654152269</v>
      </c>
      <c r="K11" s="307">
        <v>56632.178933</v>
      </c>
      <c r="L11" s="308">
        <v>39670.819033</v>
      </c>
      <c r="M11" s="17">
        <f t="shared" si="3"/>
        <v>2352.819033</v>
      </c>
      <c r="N11" s="309">
        <f t="shared" si="4"/>
        <v>0.0630478330296372</v>
      </c>
      <c r="Q11" s="138">
        <v>2</v>
      </c>
      <c r="S11" s="138">
        <f t="shared" si="5"/>
        <v>4508.30438</v>
      </c>
      <c r="W11" s="315"/>
    </row>
    <row r="12" ht="24.75" customHeight="1" spans="1:23">
      <c r="A12" s="66" t="s">
        <v>131</v>
      </c>
      <c r="B12" s="285">
        <v>482</v>
      </c>
      <c r="C12" s="17">
        <v>482</v>
      </c>
      <c r="D12" s="17">
        <v>353</v>
      </c>
      <c r="E12" s="17">
        <v>308</v>
      </c>
      <c r="F12" s="18">
        <f t="shared" si="0"/>
        <v>0.872521246458923</v>
      </c>
      <c r="G12" s="273">
        <f t="shared" si="1"/>
        <v>45</v>
      </c>
      <c r="H12" s="17">
        <v>315</v>
      </c>
      <c r="I12" s="17">
        <f t="shared" si="2"/>
        <v>-7</v>
      </c>
      <c r="J12" s="18">
        <f t="shared" si="6"/>
        <v>-0.0222222222222222</v>
      </c>
      <c r="K12" s="307">
        <v>376.828275</v>
      </c>
      <c r="L12" s="308">
        <v>332</v>
      </c>
      <c r="M12" s="17">
        <f t="shared" si="3"/>
        <v>-150</v>
      </c>
      <c r="N12" s="309">
        <f t="shared" si="4"/>
        <v>-0.311203319502075</v>
      </c>
      <c r="S12" s="138">
        <f t="shared" si="5"/>
        <v>45</v>
      </c>
      <c r="W12" s="315"/>
    </row>
    <row r="13" ht="24.75" customHeight="1" spans="1:23">
      <c r="A13" s="66" t="s">
        <v>132</v>
      </c>
      <c r="B13" s="17">
        <v>3123</v>
      </c>
      <c r="C13" s="17">
        <v>1800</v>
      </c>
      <c r="D13" s="17">
        <v>2529.544582</v>
      </c>
      <c r="E13" s="17">
        <v>1927</v>
      </c>
      <c r="F13" s="18">
        <f t="shared" si="0"/>
        <v>0.761797207968719</v>
      </c>
      <c r="G13" s="273">
        <f t="shared" si="1"/>
        <v>602.544582</v>
      </c>
      <c r="H13" s="17">
        <v>4460</v>
      </c>
      <c r="I13" s="17">
        <f t="shared" si="2"/>
        <v>-2533</v>
      </c>
      <c r="J13" s="18">
        <f t="shared" si="6"/>
        <v>-0.567937219730942</v>
      </c>
      <c r="K13" s="307">
        <v>2862.172877</v>
      </c>
      <c r="L13" s="308">
        <v>1730.948477</v>
      </c>
      <c r="M13" s="17">
        <f t="shared" si="3"/>
        <v>-69.0515230000001</v>
      </c>
      <c r="N13" s="309">
        <f t="shared" si="4"/>
        <v>-0.0383619572222223</v>
      </c>
      <c r="S13" s="138">
        <f t="shared" si="5"/>
        <v>602.544582</v>
      </c>
      <c r="W13" s="315"/>
    </row>
    <row r="14" ht="24.75" customHeight="1" spans="1:23">
      <c r="A14" s="66" t="s">
        <v>133</v>
      </c>
      <c r="B14" s="17">
        <v>29880</v>
      </c>
      <c r="C14" s="17">
        <v>16738</v>
      </c>
      <c r="D14" s="17">
        <v>41160.618959</v>
      </c>
      <c r="E14" s="17">
        <v>40024</v>
      </c>
      <c r="F14" s="18">
        <f t="shared" si="0"/>
        <v>0.972385766109781</v>
      </c>
      <c r="G14" s="273">
        <f t="shared" si="1"/>
        <v>1136.618959</v>
      </c>
      <c r="H14" s="17">
        <v>42469</v>
      </c>
      <c r="I14" s="17">
        <f t="shared" si="2"/>
        <v>-2445</v>
      </c>
      <c r="J14" s="18">
        <f t="shared" si="6"/>
        <v>-0.0575714050248416</v>
      </c>
      <c r="K14" s="307">
        <v>38507.984599</v>
      </c>
      <c r="L14" s="308">
        <v>17095.245799</v>
      </c>
      <c r="M14" s="17">
        <f t="shared" si="3"/>
        <v>357.245799</v>
      </c>
      <c r="N14" s="309">
        <f t="shared" si="4"/>
        <v>0.0213433981957223</v>
      </c>
      <c r="S14" s="138">
        <f t="shared" si="5"/>
        <v>1136.618959</v>
      </c>
      <c r="W14" s="315"/>
    </row>
    <row r="15" ht="24.75" customHeight="1" spans="1:23">
      <c r="A15" s="66" t="s">
        <v>134</v>
      </c>
      <c r="B15" s="17">
        <v>30238</v>
      </c>
      <c r="C15" s="17">
        <v>8726</v>
      </c>
      <c r="D15" s="17">
        <v>18161.955412</v>
      </c>
      <c r="E15" s="17">
        <v>16436</v>
      </c>
      <c r="F15" s="18">
        <f t="shared" si="0"/>
        <v>0.904968635103045</v>
      </c>
      <c r="G15" s="273">
        <f t="shared" si="1"/>
        <v>1725.955412</v>
      </c>
      <c r="H15" s="17">
        <v>34386</v>
      </c>
      <c r="I15" s="17">
        <f t="shared" si="2"/>
        <v>-17950</v>
      </c>
      <c r="J15" s="18">
        <f t="shared" si="6"/>
        <v>-0.522014773454313</v>
      </c>
      <c r="K15" s="307">
        <v>15905.318712</v>
      </c>
      <c r="L15" s="308">
        <v>8990.699712</v>
      </c>
      <c r="M15" s="17">
        <f t="shared" si="3"/>
        <v>264.699712</v>
      </c>
      <c r="N15" s="309">
        <f t="shared" si="4"/>
        <v>0.0303345991290396</v>
      </c>
      <c r="O15" s="138" t="s">
        <v>128</v>
      </c>
      <c r="P15" s="138" t="s">
        <v>135</v>
      </c>
      <c r="S15" s="138">
        <f t="shared" si="5"/>
        <v>1725.955412</v>
      </c>
      <c r="W15" s="315"/>
    </row>
    <row r="16" ht="24.75" customHeight="1" spans="1:23">
      <c r="A16" s="66" t="s">
        <v>136</v>
      </c>
      <c r="B16" s="17">
        <v>7430</v>
      </c>
      <c r="C16" s="17">
        <v>350</v>
      </c>
      <c r="D16" s="17">
        <v>9743.1352</v>
      </c>
      <c r="E16" s="17">
        <v>3831</v>
      </c>
      <c r="F16" s="18">
        <f t="shared" si="0"/>
        <v>0.393199921930674</v>
      </c>
      <c r="G16" s="273">
        <f t="shared" si="1"/>
        <v>5912.1352</v>
      </c>
      <c r="H16" s="17">
        <v>1533</v>
      </c>
      <c r="I16" s="17">
        <f t="shared" si="2"/>
        <v>2298</v>
      </c>
      <c r="J16" s="18">
        <f t="shared" si="6"/>
        <v>1.49902152641879</v>
      </c>
      <c r="K16" s="307">
        <v>7506.6952</v>
      </c>
      <c r="L16" s="308">
        <v>45.39</v>
      </c>
      <c r="M16" s="17">
        <f t="shared" si="3"/>
        <v>-304.61</v>
      </c>
      <c r="N16" s="309">
        <f t="shared" si="4"/>
        <v>-0.870314285714286</v>
      </c>
      <c r="Q16" s="138">
        <v>2794</v>
      </c>
      <c r="S16" s="138">
        <f t="shared" si="5"/>
        <v>5912.1352</v>
      </c>
      <c r="W16" s="315"/>
    </row>
    <row r="17" ht="24.75" customHeight="1" spans="1:23">
      <c r="A17" s="66" t="s">
        <v>137</v>
      </c>
      <c r="B17" s="17">
        <v>10949</v>
      </c>
      <c r="C17" s="17">
        <v>6449</v>
      </c>
      <c r="D17" s="17">
        <v>7809.51</v>
      </c>
      <c r="E17" s="17">
        <v>6864</v>
      </c>
      <c r="F17" s="18">
        <f t="shared" si="0"/>
        <v>0.878928383470922</v>
      </c>
      <c r="G17" s="273">
        <f t="shared" si="1"/>
        <v>945.51</v>
      </c>
      <c r="H17" s="17">
        <v>26662</v>
      </c>
      <c r="I17" s="17">
        <f t="shared" si="2"/>
        <v>-19798</v>
      </c>
      <c r="J17" s="18">
        <f t="shared" si="6"/>
        <v>-0.742554947115745</v>
      </c>
      <c r="K17" s="307">
        <v>6137.084562</v>
      </c>
      <c r="L17" s="308">
        <v>5191.574562</v>
      </c>
      <c r="M17" s="17">
        <f t="shared" si="3"/>
        <v>-1257.425438</v>
      </c>
      <c r="N17" s="309">
        <f t="shared" si="4"/>
        <v>-0.19497990975345</v>
      </c>
      <c r="S17" s="138">
        <f t="shared" si="5"/>
        <v>945.51</v>
      </c>
      <c r="W17" s="315"/>
    </row>
    <row r="18" ht="24.75" customHeight="1" spans="1:23">
      <c r="A18" s="66" t="s">
        <v>138</v>
      </c>
      <c r="B18" s="17">
        <v>100729</v>
      </c>
      <c r="C18" s="17">
        <v>15288</v>
      </c>
      <c r="D18" s="17">
        <v>115530.184817</v>
      </c>
      <c r="E18" s="17">
        <v>92758</v>
      </c>
      <c r="F18" s="18">
        <f t="shared" si="0"/>
        <v>0.802889739568311</v>
      </c>
      <c r="G18" s="273">
        <f t="shared" si="1"/>
        <v>22772.184817</v>
      </c>
      <c r="H18" s="17">
        <v>133382</v>
      </c>
      <c r="I18" s="17">
        <f t="shared" si="2"/>
        <v>-40624</v>
      </c>
      <c r="J18" s="18">
        <f t="shared" si="6"/>
        <v>-0.304568832376183</v>
      </c>
      <c r="K18" s="307">
        <v>77560.25863</v>
      </c>
      <c r="L18" s="308">
        <v>15493.41743</v>
      </c>
      <c r="M18" s="17">
        <f t="shared" si="3"/>
        <v>205.41743</v>
      </c>
      <c r="N18" s="309">
        <f t="shared" si="4"/>
        <v>0.0134365142595499</v>
      </c>
      <c r="Q18" s="138">
        <v>935</v>
      </c>
      <c r="S18" s="138">
        <f t="shared" si="5"/>
        <v>22772.184817</v>
      </c>
      <c r="U18" s="138">
        <v>22499.85</v>
      </c>
      <c r="V18" s="138">
        <f>U18-S18</f>
        <v>-272.334817000003</v>
      </c>
      <c r="W18" s="315"/>
    </row>
    <row r="19" ht="24.75" customHeight="1" spans="1:23">
      <c r="A19" s="66" t="s">
        <v>139</v>
      </c>
      <c r="B19" s="17">
        <v>6945</v>
      </c>
      <c r="C19" s="17">
        <v>1014</v>
      </c>
      <c r="D19" s="17">
        <v>23456.30817</v>
      </c>
      <c r="E19" s="17">
        <v>23018</v>
      </c>
      <c r="F19" s="18">
        <f t="shared" si="0"/>
        <v>0.9813138467135</v>
      </c>
      <c r="G19" s="273">
        <f t="shared" si="1"/>
        <v>438.30817</v>
      </c>
      <c r="H19" s="17">
        <v>7971</v>
      </c>
      <c r="I19" s="17">
        <f t="shared" si="2"/>
        <v>15047</v>
      </c>
      <c r="J19" s="18">
        <f t="shared" si="6"/>
        <v>1.88771797766905</v>
      </c>
      <c r="K19" s="307">
        <v>1692.203144</v>
      </c>
      <c r="L19" s="308">
        <v>973.895044</v>
      </c>
      <c r="M19" s="17">
        <f t="shared" si="3"/>
        <v>-40.104956</v>
      </c>
      <c r="N19" s="309">
        <f t="shared" si="4"/>
        <v>-0.0395512386587771</v>
      </c>
      <c r="Q19" s="138">
        <v>1000</v>
      </c>
      <c r="S19" s="138">
        <f t="shared" si="5"/>
        <v>438.30817</v>
      </c>
      <c r="W19" s="315"/>
    </row>
    <row r="20" ht="24.75" customHeight="1" spans="1:23">
      <c r="A20" s="66" t="s">
        <v>140</v>
      </c>
      <c r="B20" s="299">
        <v>817</v>
      </c>
      <c r="C20" s="17">
        <v>437</v>
      </c>
      <c r="D20" s="17">
        <v>1485</v>
      </c>
      <c r="E20" s="17">
        <v>865</v>
      </c>
      <c r="F20" s="18">
        <f t="shared" si="0"/>
        <v>0.582491582491583</v>
      </c>
      <c r="G20" s="273">
        <f t="shared" si="1"/>
        <v>620</v>
      </c>
      <c r="H20" s="17">
        <v>1404</v>
      </c>
      <c r="I20" s="17">
        <f t="shared" si="2"/>
        <v>-539</v>
      </c>
      <c r="J20" s="18">
        <f t="shared" si="6"/>
        <v>-0.383903133903134</v>
      </c>
      <c r="K20" s="307">
        <v>1012.718558</v>
      </c>
      <c r="L20" s="308">
        <v>392.718558</v>
      </c>
      <c r="M20" s="17">
        <f t="shared" si="3"/>
        <v>-44.281442</v>
      </c>
      <c r="N20" s="309">
        <f t="shared" si="4"/>
        <v>-0.101330530892449</v>
      </c>
      <c r="S20" s="138">
        <f t="shared" si="5"/>
        <v>620</v>
      </c>
      <c r="W20" s="315"/>
    </row>
    <row r="21" ht="24.75" customHeight="1" spans="1:23">
      <c r="A21" s="66" t="s">
        <v>141</v>
      </c>
      <c r="B21" s="17">
        <v>2106</v>
      </c>
      <c r="C21" s="17">
        <v>88</v>
      </c>
      <c r="D21" s="17">
        <v>1105</v>
      </c>
      <c r="E21" s="17">
        <v>720</v>
      </c>
      <c r="F21" s="18">
        <f t="shared" si="0"/>
        <v>0.65158371040724</v>
      </c>
      <c r="G21" s="273">
        <f t="shared" si="1"/>
        <v>385</v>
      </c>
      <c r="H21" s="17">
        <v>2577</v>
      </c>
      <c r="I21" s="17">
        <f t="shared" si="2"/>
        <v>-1857</v>
      </c>
      <c r="J21" s="18">
        <f t="shared" si="6"/>
        <v>-0.720605355064028</v>
      </c>
      <c r="K21" s="307">
        <v>507.049859</v>
      </c>
      <c r="L21" s="308">
        <v>122.049859</v>
      </c>
      <c r="M21" s="17">
        <f t="shared" si="3"/>
        <v>34.049859</v>
      </c>
      <c r="N21" s="309">
        <f t="shared" si="4"/>
        <v>0.386930215909091</v>
      </c>
      <c r="Q21" s="138">
        <v>1182</v>
      </c>
      <c r="S21" s="138">
        <f t="shared" si="5"/>
        <v>385</v>
      </c>
      <c r="W21" s="315"/>
    </row>
    <row r="22" ht="24.75" customHeight="1" spans="1:23">
      <c r="A22" s="66" t="s">
        <v>142</v>
      </c>
      <c r="B22" s="299">
        <v>1119</v>
      </c>
      <c r="C22" s="17">
        <v>1109</v>
      </c>
      <c r="D22" s="17">
        <v>1595</v>
      </c>
      <c r="E22" s="17">
        <v>1595</v>
      </c>
      <c r="F22" s="18">
        <f t="shared" si="0"/>
        <v>1</v>
      </c>
      <c r="G22" s="273">
        <f t="shared" si="1"/>
        <v>0</v>
      </c>
      <c r="H22" s="17">
        <v>110</v>
      </c>
      <c r="I22" s="17">
        <f t="shared" si="2"/>
        <v>1485</v>
      </c>
      <c r="J22" s="18">
        <f t="shared" si="6"/>
        <v>13.5</v>
      </c>
      <c r="K22" s="307">
        <v>50</v>
      </c>
      <c r="L22" s="308">
        <v>50</v>
      </c>
      <c r="M22" s="17">
        <f t="shared" si="3"/>
        <v>-1059</v>
      </c>
      <c r="N22" s="309">
        <f t="shared" si="4"/>
        <v>-0.954914337240757</v>
      </c>
      <c r="S22" s="138">
        <f t="shared" si="5"/>
        <v>0</v>
      </c>
      <c r="W22" s="315"/>
    </row>
    <row r="23" ht="24.75" customHeight="1" spans="1:23">
      <c r="A23" s="66" t="s">
        <v>143</v>
      </c>
      <c r="B23" s="17">
        <v>701</v>
      </c>
      <c r="C23" s="17">
        <v>701</v>
      </c>
      <c r="D23" s="17">
        <v>3240.9371</v>
      </c>
      <c r="E23" s="17">
        <v>2358</v>
      </c>
      <c r="F23" s="18">
        <f t="shared" si="0"/>
        <v>0.727567344642387</v>
      </c>
      <c r="G23" s="273">
        <f t="shared" si="1"/>
        <v>882.9371</v>
      </c>
      <c r="H23" s="17">
        <v>7010</v>
      </c>
      <c r="I23" s="17">
        <f t="shared" si="2"/>
        <v>-4652</v>
      </c>
      <c r="J23" s="18">
        <f t="shared" si="6"/>
        <v>-0.663623395149786</v>
      </c>
      <c r="K23" s="307">
        <v>1895.646389</v>
      </c>
      <c r="L23" s="308">
        <v>1012.716389</v>
      </c>
      <c r="M23" s="17">
        <f t="shared" si="3"/>
        <v>311.716389</v>
      </c>
      <c r="N23" s="309">
        <f t="shared" si="4"/>
        <v>0.44467387874465</v>
      </c>
      <c r="S23" s="138">
        <f t="shared" si="5"/>
        <v>882.9371</v>
      </c>
      <c r="W23" s="315"/>
    </row>
    <row r="24" ht="24.75" customHeight="1" spans="1:23">
      <c r="A24" s="66" t="s">
        <v>144</v>
      </c>
      <c r="B24" s="17">
        <v>10269</v>
      </c>
      <c r="C24" s="17">
        <v>8289</v>
      </c>
      <c r="D24" s="17">
        <v>6648.94</v>
      </c>
      <c r="E24" s="17">
        <v>6617</v>
      </c>
      <c r="F24" s="18">
        <f t="shared" si="0"/>
        <v>0.995196226766973</v>
      </c>
      <c r="G24" s="273">
        <f t="shared" si="1"/>
        <v>31.9399999999996</v>
      </c>
      <c r="H24" s="17">
        <v>8164</v>
      </c>
      <c r="I24" s="17">
        <f t="shared" si="2"/>
        <v>-1547</v>
      </c>
      <c r="J24" s="18">
        <f t="shared" si="6"/>
        <v>-0.189490445859873</v>
      </c>
      <c r="K24" s="307">
        <v>8613.016292</v>
      </c>
      <c r="L24" s="308">
        <v>8398.446292</v>
      </c>
      <c r="M24" s="17">
        <f t="shared" si="3"/>
        <v>109.446292000001</v>
      </c>
      <c r="N24" s="309">
        <f t="shared" si="4"/>
        <v>0.0132037992520208</v>
      </c>
      <c r="S24" s="138">
        <f t="shared" si="5"/>
        <v>31.9399999999996</v>
      </c>
      <c r="W24" s="315"/>
    </row>
    <row r="25" ht="24.75" customHeight="1" spans="1:23">
      <c r="A25" s="66" t="s">
        <v>145</v>
      </c>
      <c r="B25" s="17">
        <v>348</v>
      </c>
      <c r="C25" s="17">
        <v>290</v>
      </c>
      <c r="D25" s="17">
        <v>194</v>
      </c>
      <c r="E25" s="17">
        <v>194</v>
      </c>
      <c r="F25" s="18">
        <f t="shared" si="0"/>
        <v>1</v>
      </c>
      <c r="G25" s="273">
        <f t="shared" si="1"/>
        <v>0</v>
      </c>
      <c r="H25" s="17">
        <v>1134</v>
      </c>
      <c r="I25" s="17">
        <f t="shared" si="2"/>
        <v>-940</v>
      </c>
      <c r="J25" s="18">
        <f t="shared" si="6"/>
        <v>-0.828924162257496</v>
      </c>
      <c r="K25" s="307">
        <v>77.03</v>
      </c>
      <c r="L25" s="308">
        <v>77.03</v>
      </c>
      <c r="M25" s="17">
        <f t="shared" si="3"/>
        <v>-212.97</v>
      </c>
      <c r="N25" s="309">
        <f t="shared" si="4"/>
        <v>-0.734379310344828</v>
      </c>
      <c r="Q25" s="138">
        <v>59</v>
      </c>
      <c r="S25" s="138">
        <f t="shared" si="5"/>
        <v>0</v>
      </c>
      <c r="W25" s="315"/>
    </row>
    <row r="26" ht="24.75" customHeight="1" spans="1:23">
      <c r="A26" s="66" t="s">
        <v>146</v>
      </c>
      <c r="B26" s="17">
        <v>1308</v>
      </c>
      <c r="C26" s="17">
        <v>1308</v>
      </c>
      <c r="D26" s="17">
        <v>1479.96</v>
      </c>
      <c r="E26" s="17">
        <v>1375</v>
      </c>
      <c r="F26" s="18">
        <f t="shared" si="0"/>
        <v>0.929079164301738</v>
      </c>
      <c r="G26" s="273">
        <f t="shared" si="1"/>
        <v>104.96</v>
      </c>
      <c r="H26" s="17">
        <v>2036</v>
      </c>
      <c r="I26" s="17">
        <f t="shared" si="2"/>
        <v>-661</v>
      </c>
      <c r="J26" s="18">
        <f t="shared" si="6"/>
        <v>-0.324656188605108</v>
      </c>
      <c r="K26" s="307">
        <v>1890.953935</v>
      </c>
      <c r="L26" s="308">
        <v>1785.993935</v>
      </c>
      <c r="M26" s="17">
        <f t="shared" si="3"/>
        <v>477.993935</v>
      </c>
      <c r="N26" s="309">
        <f t="shared" si="4"/>
        <v>0.3654387882263</v>
      </c>
      <c r="S26" s="138">
        <f t="shared" si="5"/>
        <v>104.96</v>
      </c>
      <c r="W26" s="315"/>
    </row>
    <row r="27" ht="24.75" customHeight="1" spans="1:23">
      <c r="A27" s="66" t="s">
        <v>147</v>
      </c>
      <c r="B27" s="17">
        <v>2300</v>
      </c>
      <c r="C27" s="17">
        <v>2300</v>
      </c>
      <c r="D27" s="17"/>
      <c r="E27" s="17"/>
      <c r="F27" s="18"/>
      <c r="G27" s="273">
        <f t="shared" si="1"/>
        <v>0</v>
      </c>
      <c r="H27" s="17"/>
      <c r="I27" s="17"/>
      <c r="J27" s="18"/>
      <c r="K27" s="307">
        <v>1800</v>
      </c>
      <c r="L27" s="308">
        <v>1800</v>
      </c>
      <c r="M27" s="17">
        <f t="shared" si="3"/>
        <v>-500</v>
      </c>
      <c r="N27" s="309">
        <f t="shared" si="4"/>
        <v>-0.217391304347826</v>
      </c>
      <c r="S27" s="138">
        <f t="shared" si="5"/>
        <v>0</v>
      </c>
      <c r="W27" s="315"/>
    </row>
    <row r="28" ht="24.75" customHeight="1" spans="1:25">
      <c r="A28" s="66" t="s">
        <v>148</v>
      </c>
      <c r="B28" s="17">
        <v>24106</v>
      </c>
      <c r="C28" s="17">
        <v>21496</v>
      </c>
      <c r="D28" s="17">
        <f>27422.822+3514</f>
        <v>30936.822</v>
      </c>
      <c r="E28" s="17">
        <v>26140</v>
      </c>
      <c r="F28" s="18">
        <f t="shared" ref="F28:F31" si="7">E28/D28</f>
        <v>0.844947810088573</v>
      </c>
      <c r="G28" s="273">
        <f t="shared" si="1"/>
        <v>4796.822</v>
      </c>
      <c r="H28" s="17">
        <v>17861</v>
      </c>
      <c r="I28" s="17">
        <f t="shared" ref="I28:I41" si="8">E28-H28</f>
        <v>8279</v>
      </c>
      <c r="J28" s="18">
        <f t="shared" si="6"/>
        <v>0.46352387884217</v>
      </c>
      <c r="K28" s="307">
        <v>20518.82</v>
      </c>
      <c r="L28" s="308">
        <v>15449</v>
      </c>
      <c r="M28" s="17">
        <f t="shared" si="3"/>
        <v>-6047</v>
      </c>
      <c r="N28" s="309">
        <f t="shared" si="4"/>
        <v>-0.281308150353554</v>
      </c>
      <c r="O28" s="138" t="s">
        <v>128</v>
      </c>
      <c r="P28" s="138" t="s">
        <v>149</v>
      </c>
      <c r="Q28" s="138">
        <f>2635-37</f>
        <v>2598</v>
      </c>
      <c r="S28" s="138">
        <f t="shared" si="5"/>
        <v>4796.822</v>
      </c>
      <c r="U28" s="138">
        <v>1282.82</v>
      </c>
      <c r="V28" s="138">
        <f>U28-S28</f>
        <v>-3514.002</v>
      </c>
      <c r="W28" s="315"/>
      <c r="X28" s="307"/>
      <c r="Y28" s="308"/>
    </row>
    <row r="29" ht="24.75" customHeight="1" spans="1:23">
      <c r="A29" s="66" t="s">
        <v>150</v>
      </c>
      <c r="B29" s="17">
        <v>6171</v>
      </c>
      <c r="C29" s="300">
        <v>6171</v>
      </c>
      <c r="D29" s="17">
        <v>5517</v>
      </c>
      <c r="E29" s="17">
        <v>5517</v>
      </c>
      <c r="F29" s="18">
        <f t="shared" si="7"/>
        <v>1</v>
      </c>
      <c r="G29" s="273">
        <f t="shared" si="1"/>
        <v>0</v>
      </c>
      <c r="H29" s="17">
        <v>5527</v>
      </c>
      <c r="I29" s="17">
        <f t="shared" si="8"/>
        <v>-10</v>
      </c>
      <c r="J29" s="18">
        <f t="shared" si="6"/>
        <v>-0.00180929980097702</v>
      </c>
      <c r="K29" s="307">
        <v>7742</v>
      </c>
      <c r="L29" s="308">
        <v>7742</v>
      </c>
      <c r="M29" s="17">
        <f t="shared" si="3"/>
        <v>1571</v>
      </c>
      <c r="N29" s="309">
        <f t="shared" si="4"/>
        <v>0.254577864203533</v>
      </c>
      <c r="S29" s="138">
        <f t="shared" si="5"/>
        <v>0</v>
      </c>
      <c r="W29" s="315"/>
    </row>
    <row r="30" ht="24.75" customHeight="1" spans="1:23">
      <c r="A30" s="66" t="s">
        <v>151</v>
      </c>
      <c r="B30" s="17"/>
      <c r="C30" s="300"/>
      <c r="D30" s="17">
        <v>13</v>
      </c>
      <c r="E30" s="17">
        <v>13</v>
      </c>
      <c r="F30" s="18"/>
      <c r="G30" s="273">
        <f t="shared" si="1"/>
        <v>0</v>
      </c>
      <c r="H30" s="17"/>
      <c r="I30" s="17">
        <f t="shared" si="8"/>
        <v>13</v>
      </c>
      <c r="J30" s="18"/>
      <c r="K30" s="17">
        <v>0</v>
      </c>
      <c r="L30" s="308"/>
      <c r="M30" s="17"/>
      <c r="N30" s="309"/>
      <c r="S30" s="138">
        <f t="shared" si="5"/>
        <v>0</v>
      </c>
      <c r="U30" s="138">
        <v>46176</v>
      </c>
      <c r="W30" s="315"/>
    </row>
    <row r="31" ht="24.75" customHeight="1" spans="1:25">
      <c r="A31" s="287" t="s">
        <v>152</v>
      </c>
      <c r="B31" s="301">
        <f>SUM(B7:B29)</f>
        <v>323467</v>
      </c>
      <c r="C31" s="301">
        <f>SUM(C7:C29)</f>
        <v>158765</v>
      </c>
      <c r="D31" s="301">
        <f>SUM(D7:D30)</f>
        <v>361631.148111</v>
      </c>
      <c r="E31" s="301">
        <f t="shared" ref="E31:H31" si="9">SUM(E7:E30)</f>
        <v>315455</v>
      </c>
      <c r="F31" s="302">
        <f t="shared" si="7"/>
        <v>0.87231147440644</v>
      </c>
      <c r="G31" s="273">
        <f t="shared" si="1"/>
        <v>46176.148111</v>
      </c>
      <c r="H31" s="301">
        <f t="shared" si="9"/>
        <v>384964</v>
      </c>
      <c r="I31" s="301">
        <f t="shared" si="8"/>
        <v>-69509</v>
      </c>
      <c r="J31" s="18">
        <f t="shared" si="6"/>
        <v>-0.180559740651074</v>
      </c>
      <c r="K31" s="301">
        <f>SUM(K7:K30)</f>
        <v>282767.886618</v>
      </c>
      <c r="L31" s="301">
        <f>SUM(L7:L30)</f>
        <v>156565.853643</v>
      </c>
      <c r="M31" s="17">
        <f t="shared" ref="M31:M37" si="10">L31-C31</f>
        <v>-2199.14635700002</v>
      </c>
      <c r="N31" s="309">
        <f t="shared" ref="N31:N34" si="11">M31/C31</f>
        <v>-0.013851581626933</v>
      </c>
      <c r="Q31" s="138">
        <f>SUM(Q7:Q28)</f>
        <v>8590</v>
      </c>
      <c r="W31" s="315"/>
      <c r="X31" s="301"/>
      <c r="Y31" s="301"/>
    </row>
    <row r="32" ht="24.75" customHeight="1" spans="1:14">
      <c r="A32" s="287" t="s">
        <v>153</v>
      </c>
      <c r="B32" s="301">
        <f>SUM(B33,B35:B39)</f>
        <v>1904</v>
      </c>
      <c r="C32" s="301">
        <f t="shared" ref="C32:H32" si="12">SUM(C33,C35:C39)</f>
        <v>1904</v>
      </c>
      <c r="D32" s="301">
        <f t="shared" si="12"/>
        <v>6465</v>
      </c>
      <c r="E32" s="301">
        <f t="shared" si="12"/>
        <v>52640.7</v>
      </c>
      <c r="F32" s="302"/>
      <c r="G32" s="303"/>
      <c r="H32" s="301">
        <f t="shared" si="12"/>
        <v>12703</v>
      </c>
      <c r="I32" s="17">
        <f t="shared" si="8"/>
        <v>39937.7</v>
      </c>
      <c r="J32" s="18">
        <f t="shared" si="6"/>
        <v>3.1439581201291</v>
      </c>
      <c r="K32" s="301">
        <f>SUM(K33,K35:K39)</f>
        <v>1477</v>
      </c>
      <c r="L32" s="301">
        <f>SUM(L33,L35:L39)</f>
        <v>1477</v>
      </c>
      <c r="M32" s="17"/>
      <c r="N32" s="309">
        <f t="shared" si="11"/>
        <v>0</v>
      </c>
    </row>
    <row r="33" ht="21" customHeight="1" spans="1:14">
      <c r="A33" s="304" t="s">
        <v>154</v>
      </c>
      <c r="B33" s="17">
        <f>B34</f>
        <v>1365</v>
      </c>
      <c r="C33" s="17">
        <f t="shared" ref="C33:H33" si="13">C34</f>
        <v>1365</v>
      </c>
      <c r="D33" s="17">
        <v>1077</v>
      </c>
      <c r="E33" s="17">
        <f t="shared" si="13"/>
        <v>1077</v>
      </c>
      <c r="F33" s="18"/>
      <c r="G33" s="273"/>
      <c r="H33" s="17">
        <f t="shared" si="13"/>
        <v>1077</v>
      </c>
      <c r="I33" s="17">
        <f t="shared" si="8"/>
        <v>0</v>
      </c>
      <c r="J33" s="18">
        <f t="shared" si="6"/>
        <v>0</v>
      </c>
      <c r="K33" s="17">
        <f>K34</f>
        <v>1077</v>
      </c>
      <c r="L33" s="17">
        <f>L34</f>
        <v>1077</v>
      </c>
      <c r="M33" s="17"/>
      <c r="N33" s="313">
        <f t="shared" si="11"/>
        <v>0</v>
      </c>
    </row>
    <row r="34" ht="21" customHeight="1" spans="1:14">
      <c r="A34" s="305" t="s">
        <v>155</v>
      </c>
      <c r="B34" s="17">
        <v>1365</v>
      </c>
      <c r="C34" s="17">
        <v>1365</v>
      </c>
      <c r="D34" s="17">
        <v>1077</v>
      </c>
      <c r="E34" s="17">
        <v>1077</v>
      </c>
      <c r="F34" s="18"/>
      <c r="G34" s="273"/>
      <c r="H34" s="17">
        <v>1077</v>
      </c>
      <c r="I34" s="17">
        <f t="shared" si="8"/>
        <v>0</v>
      </c>
      <c r="J34" s="18">
        <f t="shared" si="6"/>
        <v>0</v>
      </c>
      <c r="K34" s="17">
        <v>1077</v>
      </c>
      <c r="L34" s="17">
        <v>1077</v>
      </c>
      <c r="M34" s="17">
        <f t="shared" si="10"/>
        <v>-288</v>
      </c>
      <c r="N34" s="313">
        <f t="shared" si="11"/>
        <v>-0.210989010989011</v>
      </c>
    </row>
    <row r="35" ht="21" customHeight="1" spans="1:14">
      <c r="A35" s="305" t="s">
        <v>156</v>
      </c>
      <c r="B35" s="17"/>
      <c r="C35" s="17"/>
      <c r="D35" s="17"/>
      <c r="E35" s="17"/>
      <c r="F35" s="18"/>
      <c r="G35" s="273"/>
      <c r="H35" s="17"/>
      <c r="I35" s="17">
        <f t="shared" si="8"/>
        <v>0</v>
      </c>
      <c r="J35" s="18"/>
      <c r="K35" s="17"/>
      <c r="L35" s="17"/>
      <c r="M35" s="17">
        <f t="shared" si="10"/>
        <v>0</v>
      </c>
      <c r="N35" s="313"/>
    </row>
    <row r="36" ht="21" customHeight="1" spans="1:14">
      <c r="A36" s="305" t="s">
        <v>157</v>
      </c>
      <c r="B36" s="17"/>
      <c r="C36" s="17"/>
      <c r="D36" s="17"/>
      <c r="E36" s="17"/>
      <c r="F36" s="18"/>
      <c r="G36" s="273"/>
      <c r="H36" s="17"/>
      <c r="I36" s="17">
        <f t="shared" si="8"/>
        <v>0</v>
      </c>
      <c r="J36" s="18"/>
      <c r="K36" s="17"/>
      <c r="L36" s="17"/>
      <c r="M36" s="17">
        <f t="shared" si="10"/>
        <v>0</v>
      </c>
      <c r="N36" s="313"/>
    </row>
    <row r="37" ht="21" customHeight="1" spans="1:14">
      <c r="A37" s="305" t="s">
        <v>158</v>
      </c>
      <c r="B37" s="17">
        <v>539</v>
      </c>
      <c r="C37" s="17">
        <v>539</v>
      </c>
      <c r="D37" s="17">
        <v>5388</v>
      </c>
      <c r="E37" s="17">
        <v>5388</v>
      </c>
      <c r="F37" s="18"/>
      <c r="G37" s="273"/>
      <c r="H37" s="17">
        <v>3200</v>
      </c>
      <c r="I37" s="17">
        <f t="shared" si="8"/>
        <v>2188</v>
      </c>
      <c r="J37" s="18">
        <f t="shared" si="6"/>
        <v>0.68375</v>
      </c>
      <c r="K37" s="17">
        <v>400</v>
      </c>
      <c r="L37" s="17">
        <v>400</v>
      </c>
      <c r="M37" s="17">
        <f t="shared" si="10"/>
        <v>-139</v>
      </c>
      <c r="N37" s="309">
        <f>M37/C37</f>
        <v>-0.257884972170686</v>
      </c>
    </row>
    <row r="38" ht="21" customHeight="1" spans="1:14">
      <c r="A38" s="305" t="s">
        <v>159</v>
      </c>
      <c r="B38" s="17"/>
      <c r="C38" s="17"/>
      <c r="D38" s="17"/>
      <c r="E38" s="17"/>
      <c r="F38" s="18"/>
      <c r="G38" s="273"/>
      <c r="H38" s="17"/>
      <c r="I38" s="17">
        <f t="shared" si="8"/>
        <v>0</v>
      </c>
      <c r="J38" s="18"/>
      <c r="K38" s="17"/>
      <c r="L38" s="17"/>
      <c r="M38" s="17">
        <v>0</v>
      </c>
      <c r="N38" s="18"/>
    </row>
    <row r="39" ht="21" customHeight="1" spans="1:14">
      <c r="A39" s="305" t="s">
        <v>160</v>
      </c>
      <c r="B39" s="17"/>
      <c r="C39" s="17"/>
      <c r="D39" s="17"/>
      <c r="E39" s="17">
        <f>E40+E43</f>
        <v>46175.7</v>
      </c>
      <c r="F39" s="17"/>
      <c r="G39" s="273"/>
      <c r="H39" s="17">
        <f>H40+H43</f>
        <v>8426</v>
      </c>
      <c r="I39" s="17">
        <f t="shared" si="8"/>
        <v>37749.7</v>
      </c>
      <c r="J39" s="18">
        <f t="shared" si="6"/>
        <v>4.48014478993591</v>
      </c>
      <c r="K39" s="17">
        <f>K40+K43</f>
        <v>0</v>
      </c>
      <c r="L39" s="17">
        <f>L40+L43</f>
        <v>0</v>
      </c>
      <c r="M39" s="17">
        <v>0</v>
      </c>
      <c r="N39" s="18"/>
    </row>
    <row r="40" ht="21" customHeight="1" spans="1:14">
      <c r="A40" s="305" t="s">
        <v>161</v>
      </c>
      <c r="B40" s="17"/>
      <c r="C40" s="17"/>
      <c r="D40" s="17"/>
      <c r="E40" s="17">
        <f>E41+E42</f>
        <v>46175.7</v>
      </c>
      <c r="F40" s="17"/>
      <c r="G40" s="273"/>
      <c r="H40" s="17">
        <f>SUM(H41:H42)</f>
        <v>8426</v>
      </c>
      <c r="I40" s="17">
        <f t="shared" si="8"/>
        <v>37749.7</v>
      </c>
      <c r="J40" s="18">
        <f t="shared" si="6"/>
        <v>4.48014478993591</v>
      </c>
      <c r="K40" s="17">
        <f>K41+K42</f>
        <v>0</v>
      </c>
      <c r="L40" s="17">
        <f>SUM(L41:L42)</f>
        <v>0</v>
      </c>
      <c r="M40" s="17">
        <v>0</v>
      </c>
      <c r="N40" s="18"/>
    </row>
    <row r="41" ht="21" customHeight="1" spans="1:19">
      <c r="A41" s="305" t="s">
        <v>103</v>
      </c>
      <c r="B41" s="17"/>
      <c r="C41" s="17"/>
      <c r="D41" s="17"/>
      <c r="E41" s="17">
        <v>46175.7</v>
      </c>
      <c r="F41" s="17"/>
      <c r="G41" s="273"/>
      <c r="H41" s="17">
        <v>8426</v>
      </c>
      <c r="I41" s="17">
        <f t="shared" si="8"/>
        <v>37749.7</v>
      </c>
      <c r="J41" s="18">
        <f t="shared" si="6"/>
        <v>4.48014478993591</v>
      </c>
      <c r="K41" s="17"/>
      <c r="L41" s="17"/>
      <c r="M41" s="17">
        <v>0</v>
      </c>
      <c r="N41" s="18"/>
      <c r="R41" s="138">
        <v>42662</v>
      </c>
      <c r="S41" s="138">
        <v>46176</v>
      </c>
    </row>
    <row r="42" ht="21" customHeight="1" spans="1:14">
      <c r="A42" s="305" t="s">
        <v>104</v>
      </c>
      <c r="B42" s="17"/>
      <c r="C42" s="17"/>
      <c r="D42" s="17"/>
      <c r="E42" s="17"/>
      <c r="F42" s="18"/>
      <c r="G42" s="273"/>
      <c r="H42" s="17"/>
      <c r="I42" s="17"/>
      <c r="J42" s="18"/>
      <c r="K42" s="17"/>
      <c r="L42" s="17"/>
      <c r="M42" s="17">
        <v>0</v>
      </c>
      <c r="N42" s="18"/>
    </row>
    <row r="43" ht="21" customHeight="1" spans="1:14">
      <c r="A43" s="305" t="s">
        <v>105</v>
      </c>
      <c r="B43" s="17"/>
      <c r="C43" s="17"/>
      <c r="D43" s="17"/>
      <c r="E43" s="17"/>
      <c r="F43" s="18"/>
      <c r="G43" s="273"/>
      <c r="H43" s="17"/>
      <c r="I43" s="17"/>
      <c r="J43" s="18"/>
      <c r="K43" s="17">
        <f>SUM(K44:K45)</f>
        <v>0</v>
      </c>
      <c r="L43" s="17">
        <f>SUM(L44:L45)</f>
        <v>0</v>
      </c>
      <c r="M43" s="17">
        <v>0</v>
      </c>
      <c r="N43" s="18"/>
    </row>
    <row r="44" ht="21" customHeight="1" spans="1:14">
      <c r="A44" s="305" t="s">
        <v>103</v>
      </c>
      <c r="B44" s="17"/>
      <c r="C44" s="17"/>
      <c r="D44" s="17"/>
      <c r="E44" s="17"/>
      <c r="F44" s="18"/>
      <c r="G44" s="273"/>
      <c r="H44" s="17"/>
      <c r="I44" s="17"/>
      <c r="J44" s="18"/>
      <c r="K44" s="17"/>
      <c r="L44" s="17"/>
      <c r="M44" s="17">
        <v>0</v>
      </c>
      <c r="N44" s="18"/>
    </row>
    <row r="45" ht="21" customHeight="1" spans="1:14">
      <c r="A45" s="305" t="s">
        <v>104</v>
      </c>
      <c r="B45" s="17"/>
      <c r="C45" s="17"/>
      <c r="D45" s="17"/>
      <c r="E45" s="17"/>
      <c r="F45" s="18"/>
      <c r="G45" s="273"/>
      <c r="H45" s="17"/>
      <c r="I45" s="17"/>
      <c r="J45" s="18"/>
      <c r="K45" s="17"/>
      <c r="L45" s="17"/>
      <c r="M45" s="17">
        <v>0</v>
      </c>
      <c r="N45" s="18"/>
    </row>
    <row r="46" ht="24.75" customHeight="1" spans="1:23">
      <c r="A46" s="287" t="s">
        <v>162</v>
      </c>
      <c r="B46" s="301">
        <f>SUM(B31:B32)</f>
        <v>325371</v>
      </c>
      <c r="C46" s="301">
        <f t="shared" ref="C46:I46" si="14">SUM(C31:C32)</f>
        <v>160669</v>
      </c>
      <c r="D46" s="301">
        <f t="shared" si="14"/>
        <v>368096.148111</v>
      </c>
      <c r="E46" s="301">
        <f t="shared" si="14"/>
        <v>368095.7</v>
      </c>
      <c r="F46" s="302">
        <f>E46/D46</f>
        <v>0.999998782625131</v>
      </c>
      <c r="G46" s="303"/>
      <c r="H46" s="301">
        <f t="shared" si="14"/>
        <v>397667</v>
      </c>
      <c r="I46" s="301">
        <f t="shared" si="14"/>
        <v>-29571.3</v>
      </c>
      <c r="J46" s="18">
        <f t="shared" si="6"/>
        <v>-0.074361966167673</v>
      </c>
      <c r="K46" s="301">
        <f>SUM(K31:K32)</f>
        <v>284244.886618</v>
      </c>
      <c r="L46" s="301">
        <f>SUM(L31:L32)</f>
        <v>158042.853643</v>
      </c>
      <c r="M46" s="301">
        <f>L46-C46</f>
        <v>-2626.14635700002</v>
      </c>
      <c r="N46" s="314">
        <f>M46/C46</f>
        <v>-0.0163450718993709</v>
      </c>
      <c r="R46" s="138">
        <f>一般公共预算收入!D102-E46</f>
        <v>0</v>
      </c>
      <c r="W46" s="315"/>
    </row>
    <row r="47" ht="24" customHeight="1"/>
  </sheetData>
  <mergeCells count="15">
    <mergeCell ref="A2:N2"/>
    <mergeCell ref="L3:N3"/>
    <mergeCell ref="B4:J4"/>
    <mergeCell ref="K4:N4"/>
    <mergeCell ref="B5:C5"/>
    <mergeCell ref="I5:J5"/>
    <mergeCell ref="M5:N5"/>
    <mergeCell ref="A4:A6"/>
    <mergeCell ref="D5:D6"/>
    <mergeCell ref="E5:E6"/>
    <mergeCell ref="F5:F6"/>
    <mergeCell ref="G5:G6"/>
    <mergeCell ref="H5:H6"/>
    <mergeCell ref="K5:K6"/>
    <mergeCell ref="L5:L6"/>
  </mergeCells>
  <pageMargins left="0.357638888888889" right="0.357638888888889" top="0.409027777777778" bottom="0.590277777777778" header="0.5" footer="0.314583333333333"/>
  <pageSetup paperSize="9" scale="99" firstPageNumber="26" fitToHeight="0" orientation="landscape" useFirstPageNumber="1" horizontalDpi="600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56"/>
  <sheetViews>
    <sheetView workbookViewId="0">
      <pane ySplit="5" topLeftCell="A95" activePane="bottomLeft" state="frozen"/>
      <selection/>
      <selection pane="bottomLeft" activeCell="A2" sqref="A2:F2"/>
    </sheetView>
  </sheetViews>
  <sheetFormatPr defaultColWidth="8" defaultRowHeight="14.4" outlineLevelCol="7"/>
  <cols>
    <col min="1" max="1" width="41.8611111111111" style="238" customWidth="1"/>
    <col min="2" max="2" width="16.6296296296296" style="239" customWidth="1"/>
    <col min="3" max="3" width="16" style="239" customWidth="1"/>
    <col min="4" max="4" width="13.462962962963" style="178" customWidth="1"/>
    <col min="5" max="5" width="14.1296296296296" style="178" customWidth="1"/>
    <col min="6" max="6" width="21.2685185185185" style="178" customWidth="1"/>
    <col min="7" max="7" width="8" style="178" hidden="1" customWidth="1"/>
    <col min="8" max="8" width="12.6296296296296" style="178" hidden="1" customWidth="1"/>
    <col min="9" max="9" width="8.66666666666667" style="178"/>
    <col min="10" max="16376" width="8" style="178"/>
    <col min="16377" max="16384" width="8" style="240"/>
  </cols>
  <sheetData>
    <row r="1" s="178" customFormat="1" ht="17" customHeight="1" spans="1:3">
      <c r="A1" s="5" t="s">
        <v>163</v>
      </c>
      <c r="B1" s="239"/>
      <c r="C1" s="239"/>
    </row>
    <row r="2" s="178" customFormat="1" ht="25.05" customHeight="1" spans="1:6">
      <c r="A2" s="241" t="s">
        <v>164</v>
      </c>
      <c r="B2" s="181"/>
      <c r="C2" s="181"/>
      <c r="D2" s="241"/>
      <c r="E2" s="241"/>
      <c r="F2" s="241"/>
    </row>
    <row r="3" s="178" customFormat="1" ht="17" customHeight="1" spans="1:6">
      <c r="A3" s="242"/>
      <c r="B3" s="242"/>
      <c r="C3" s="242"/>
      <c r="D3" s="242"/>
      <c r="F3" s="243" t="s">
        <v>2</v>
      </c>
    </row>
    <row r="4" s="178" customFormat="1" ht="32.25" customHeight="1" spans="1:6">
      <c r="A4" s="244" t="s">
        <v>165</v>
      </c>
      <c r="B4" s="245" t="s">
        <v>166</v>
      </c>
      <c r="C4" s="245" t="s">
        <v>167</v>
      </c>
      <c r="D4" s="246" t="s">
        <v>168</v>
      </c>
      <c r="E4" s="247"/>
      <c r="F4" s="248" t="s">
        <v>169</v>
      </c>
    </row>
    <row r="5" s="178" customFormat="1" ht="19.05" customHeight="1" spans="1:6">
      <c r="A5" s="249"/>
      <c r="B5" s="250"/>
      <c r="C5" s="251"/>
      <c r="D5" s="251" t="s">
        <v>14</v>
      </c>
      <c r="E5" s="251" t="s">
        <v>15</v>
      </c>
      <c r="F5" s="251"/>
    </row>
    <row r="6" s="237" customFormat="1" ht="18" customHeight="1" spans="1:8">
      <c r="A6" s="252" t="s">
        <v>17</v>
      </c>
      <c r="B6" s="253">
        <f>SUM(B7,B17,B20,B31:B42)</f>
        <v>21772.903127</v>
      </c>
      <c r="C6" s="253">
        <f>SUM(C7,C17,C20,C31:C42)</f>
        <v>20113</v>
      </c>
      <c r="D6" s="254">
        <f>SUM(C6-B6)</f>
        <v>-1659.903127</v>
      </c>
      <c r="E6" s="255">
        <f>SUM(D6/B6)</f>
        <v>-0.0762371061552006</v>
      </c>
      <c r="F6" s="256"/>
      <c r="H6" s="237">
        <f>SUM(B6,B97,B100,B104)</f>
        <v>44324.273127</v>
      </c>
    </row>
    <row r="7" s="237" customFormat="1" ht="18" customHeight="1" spans="1:6">
      <c r="A7" s="257" t="s">
        <v>170</v>
      </c>
      <c r="B7" s="258">
        <f>SUM(B8:B16)</f>
        <v>7806.85</v>
      </c>
      <c r="C7" s="258">
        <f>SUM(C8:C16)</f>
        <v>8192</v>
      </c>
      <c r="D7" s="254">
        <f t="shared" ref="D7:D38" si="0">SUM(C7-B7)</f>
        <v>385.149999999999</v>
      </c>
      <c r="E7" s="255">
        <f t="shared" ref="E7:E38" si="1">SUM(D7/B7)</f>
        <v>0.0493348789844814</v>
      </c>
      <c r="F7" s="256"/>
    </row>
    <row r="8" s="237" customFormat="1" ht="18" customHeight="1" spans="1:6">
      <c r="A8" s="259" t="s">
        <v>171</v>
      </c>
      <c r="B8" s="258">
        <v>422.54</v>
      </c>
      <c r="C8" s="258">
        <v>400</v>
      </c>
      <c r="D8" s="254">
        <f t="shared" si="0"/>
        <v>-22.54</v>
      </c>
      <c r="E8" s="255">
        <f t="shared" si="1"/>
        <v>-0.0533440621006296</v>
      </c>
      <c r="F8" s="256"/>
    </row>
    <row r="9" s="237" customFormat="1" ht="18" customHeight="1" spans="1:6">
      <c r="A9" s="259" t="s">
        <v>172</v>
      </c>
      <c r="B9" s="258">
        <v>5.68</v>
      </c>
      <c r="C9" s="258"/>
      <c r="D9" s="254">
        <f t="shared" si="0"/>
        <v>-5.68</v>
      </c>
      <c r="E9" s="255">
        <f t="shared" si="1"/>
        <v>-1</v>
      </c>
      <c r="F9" s="256"/>
    </row>
    <row r="10" s="237" customFormat="1" ht="18" customHeight="1" spans="1:6">
      <c r="A10" s="259" t="s">
        <v>173</v>
      </c>
      <c r="B10" s="258">
        <v>5471.52</v>
      </c>
      <c r="C10" s="258">
        <v>5482</v>
      </c>
      <c r="D10" s="254">
        <f t="shared" si="0"/>
        <v>10.4799999999996</v>
      </c>
      <c r="E10" s="255">
        <f t="shared" si="1"/>
        <v>0.00191537269351105</v>
      </c>
      <c r="F10" s="256"/>
    </row>
    <row r="11" s="237" customFormat="1" ht="18" customHeight="1" spans="1:6">
      <c r="A11" s="259" t="s">
        <v>174</v>
      </c>
      <c r="B11" s="258">
        <v>18.22</v>
      </c>
      <c r="C11" s="258">
        <v>10</v>
      </c>
      <c r="D11" s="254">
        <f t="shared" si="0"/>
        <v>-8.22</v>
      </c>
      <c r="E11" s="255">
        <f t="shared" si="1"/>
        <v>-0.451152579582876</v>
      </c>
      <c r="F11" s="256"/>
    </row>
    <row r="12" s="237" customFormat="1" ht="18" customHeight="1" spans="1:6">
      <c r="A12" s="259" t="s">
        <v>175</v>
      </c>
      <c r="B12" s="258">
        <v>1910.65</v>
      </c>
      <c r="C12" s="258">
        <v>1900</v>
      </c>
      <c r="D12" s="254">
        <f t="shared" si="0"/>
        <v>-10.6500000000001</v>
      </c>
      <c r="E12" s="255">
        <f t="shared" si="1"/>
        <v>-0.00557401931279936</v>
      </c>
      <c r="F12" s="256"/>
    </row>
    <row r="13" s="237" customFormat="1" ht="18" customHeight="1" spans="1:6">
      <c r="A13" s="259" t="s">
        <v>176</v>
      </c>
      <c r="B13" s="258">
        <v>398.91</v>
      </c>
      <c r="C13" s="258">
        <v>400</v>
      </c>
      <c r="D13" s="254">
        <f t="shared" si="0"/>
        <v>1.08999999999997</v>
      </c>
      <c r="E13" s="255">
        <f t="shared" si="1"/>
        <v>0.00273244591511864</v>
      </c>
      <c r="F13" s="256"/>
    </row>
    <row r="14" s="237" customFormat="1" ht="18" customHeight="1" spans="1:6">
      <c r="A14" s="259" t="s">
        <v>177</v>
      </c>
      <c r="B14" s="258">
        <v>2.03</v>
      </c>
      <c r="C14" s="258"/>
      <c r="D14" s="254">
        <f t="shared" si="0"/>
        <v>-2.03</v>
      </c>
      <c r="E14" s="255">
        <f t="shared" si="1"/>
        <v>-1</v>
      </c>
      <c r="F14" s="256"/>
    </row>
    <row r="15" s="237" customFormat="1" ht="18" customHeight="1" spans="1:6">
      <c r="A15" s="259" t="s">
        <v>178</v>
      </c>
      <c r="B15" s="258">
        <v>-422.7</v>
      </c>
      <c r="C15" s="258"/>
      <c r="D15" s="254">
        <f t="shared" si="0"/>
        <v>422.7</v>
      </c>
      <c r="E15" s="255">
        <f t="shared" si="1"/>
        <v>-1</v>
      </c>
      <c r="F15" s="256"/>
    </row>
    <row r="16" s="237" customFormat="1" ht="18" customHeight="1" spans="1:6">
      <c r="A16" s="259" t="s">
        <v>179</v>
      </c>
      <c r="B16" s="258"/>
      <c r="C16" s="258"/>
      <c r="D16" s="254">
        <f t="shared" si="0"/>
        <v>0</v>
      </c>
      <c r="E16" s="255"/>
      <c r="F16" s="256"/>
    </row>
    <row r="17" s="237" customFormat="1" ht="18" customHeight="1" spans="1:6">
      <c r="A17" s="259" t="s">
        <v>180</v>
      </c>
      <c r="B17" s="258">
        <f>SUM(B18:B19)</f>
        <v>0</v>
      </c>
      <c r="C17" s="258">
        <f>SUM(C18:C19)</f>
        <v>0</v>
      </c>
      <c r="D17" s="254">
        <f t="shared" si="0"/>
        <v>0</v>
      </c>
      <c r="E17" s="255"/>
      <c r="F17" s="260"/>
    </row>
    <row r="18" s="237" customFormat="1" ht="18" customHeight="1" spans="1:6">
      <c r="A18" s="261" t="s">
        <v>181</v>
      </c>
      <c r="B18" s="258"/>
      <c r="C18" s="258"/>
      <c r="D18" s="254">
        <f t="shared" si="0"/>
        <v>0</v>
      </c>
      <c r="E18" s="255"/>
      <c r="F18" s="256"/>
    </row>
    <row r="19" s="237" customFormat="1" ht="18" customHeight="1" spans="1:6">
      <c r="A19" s="261" t="s">
        <v>182</v>
      </c>
      <c r="B19" s="258"/>
      <c r="C19" s="258"/>
      <c r="D19" s="254">
        <f t="shared" si="0"/>
        <v>0</v>
      </c>
      <c r="E19" s="255"/>
      <c r="F19" s="256"/>
    </row>
    <row r="20" s="237" customFormat="1" ht="18" customHeight="1" spans="1:6">
      <c r="A20" s="261" t="s">
        <v>183</v>
      </c>
      <c r="B20" s="258">
        <f>SUM(B21:B30)</f>
        <v>865.983127</v>
      </c>
      <c r="C20" s="258">
        <f>SUM(C21:C30)</f>
        <v>1200</v>
      </c>
      <c r="D20" s="254">
        <f t="shared" si="0"/>
        <v>334.016873</v>
      </c>
      <c r="E20" s="255">
        <f t="shared" si="1"/>
        <v>0.385708292212488</v>
      </c>
      <c r="F20" s="260"/>
    </row>
    <row r="21" s="237" customFormat="1" ht="18" customHeight="1" spans="1:6">
      <c r="A21" s="261" t="s">
        <v>184</v>
      </c>
      <c r="B21" s="258"/>
      <c r="C21" s="258"/>
      <c r="D21" s="254">
        <f t="shared" si="0"/>
        <v>0</v>
      </c>
      <c r="E21" s="255"/>
      <c r="F21" s="260"/>
    </row>
    <row r="22" s="237" customFormat="1" ht="18" customHeight="1" spans="1:6">
      <c r="A22" s="259" t="s">
        <v>185</v>
      </c>
      <c r="B22" s="258">
        <v>8.49</v>
      </c>
      <c r="C22" s="258">
        <v>10</v>
      </c>
      <c r="D22" s="254">
        <f t="shared" si="0"/>
        <v>1.51</v>
      </c>
      <c r="E22" s="255">
        <f t="shared" si="1"/>
        <v>0.177856301531213</v>
      </c>
      <c r="F22" s="256"/>
    </row>
    <row r="23" s="237" customFormat="1" ht="18" customHeight="1" spans="1:6">
      <c r="A23" s="259" t="s">
        <v>186</v>
      </c>
      <c r="B23" s="258">
        <v>130</v>
      </c>
      <c r="C23" s="258">
        <v>190</v>
      </c>
      <c r="D23" s="254">
        <f t="shared" si="0"/>
        <v>60</v>
      </c>
      <c r="E23" s="255">
        <f t="shared" si="1"/>
        <v>0.461538461538462</v>
      </c>
      <c r="F23" s="256"/>
    </row>
    <row r="24" s="237" customFormat="1" ht="18" customHeight="1" spans="1:6">
      <c r="A24" s="259" t="s">
        <v>187</v>
      </c>
      <c r="B24" s="258">
        <v>548.99</v>
      </c>
      <c r="C24" s="258">
        <v>680</v>
      </c>
      <c r="D24" s="254">
        <f t="shared" si="0"/>
        <v>131.01</v>
      </c>
      <c r="E24" s="255">
        <f t="shared" si="1"/>
        <v>0.238638226561504</v>
      </c>
      <c r="F24" s="256"/>
    </row>
    <row r="25" s="237" customFormat="1" ht="18" customHeight="1" spans="1:6">
      <c r="A25" s="259" t="s">
        <v>188</v>
      </c>
      <c r="B25" s="258"/>
      <c r="C25" s="258"/>
      <c r="D25" s="254">
        <f t="shared" si="0"/>
        <v>0</v>
      </c>
      <c r="E25" s="255"/>
      <c r="F25" s="256"/>
    </row>
    <row r="26" s="237" customFormat="1" ht="18" customHeight="1" spans="1:6">
      <c r="A26" s="259" t="s">
        <v>189</v>
      </c>
      <c r="B26" s="258">
        <v>0.043127</v>
      </c>
      <c r="C26" s="258"/>
      <c r="D26" s="254">
        <f t="shared" si="0"/>
        <v>-0.043127</v>
      </c>
      <c r="E26" s="255">
        <f t="shared" si="1"/>
        <v>-1</v>
      </c>
      <c r="F26" s="256"/>
    </row>
    <row r="27" s="237" customFormat="1" ht="18" customHeight="1" spans="1:6">
      <c r="A27" s="259" t="s">
        <v>190</v>
      </c>
      <c r="B27" s="258">
        <v>169.49</v>
      </c>
      <c r="C27" s="258">
        <v>320</v>
      </c>
      <c r="D27" s="254">
        <f t="shared" si="0"/>
        <v>150.51</v>
      </c>
      <c r="E27" s="255">
        <f t="shared" si="1"/>
        <v>0.888016992152929</v>
      </c>
      <c r="F27" s="256"/>
    </row>
    <row r="28" s="237" customFormat="1" ht="18" customHeight="1" spans="1:6">
      <c r="A28" s="259" t="s">
        <v>191</v>
      </c>
      <c r="B28" s="258">
        <v>0</v>
      </c>
      <c r="C28" s="258"/>
      <c r="D28" s="254">
        <f t="shared" si="0"/>
        <v>0</v>
      </c>
      <c r="E28" s="255"/>
      <c r="F28" s="256"/>
    </row>
    <row r="29" s="237" customFormat="1" ht="18" customHeight="1" spans="1:6">
      <c r="A29" s="262" t="s">
        <v>192</v>
      </c>
      <c r="B29" s="258">
        <v>6.97</v>
      </c>
      <c r="C29" s="258"/>
      <c r="D29" s="254">
        <f t="shared" si="0"/>
        <v>-6.97</v>
      </c>
      <c r="E29" s="255">
        <f t="shared" si="1"/>
        <v>-1</v>
      </c>
      <c r="F29" s="256"/>
    </row>
    <row r="30" s="237" customFormat="1" ht="18" customHeight="1" spans="1:6">
      <c r="A30" s="259" t="s">
        <v>193</v>
      </c>
      <c r="B30" s="263">
        <v>2</v>
      </c>
      <c r="C30" s="263"/>
      <c r="D30" s="254">
        <f t="shared" si="0"/>
        <v>-2</v>
      </c>
      <c r="E30" s="255">
        <f t="shared" si="1"/>
        <v>-1</v>
      </c>
      <c r="F30" s="256"/>
    </row>
    <row r="31" s="237" customFormat="1" ht="18" customHeight="1" spans="1:6">
      <c r="A31" s="259" t="s">
        <v>194</v>
      </c>
      <c r="B31" s="264">
        <v>781.88</v>
      </c>
      <c r="C31" s="265">
        <v>625</v>
      </c>
      <c r="D31" s="254">
        <f t="shared" si="0"/>
        <v>-156.88</v>
      </c>
      <c r="E31" s="255">
        <f t="shared" si="1"/>
        <v>-0.200644600194403</v>
      </c>
      <c r="F31" s="256"/>
    </row>
    <row r="32" s="237" customFormat="1" ht="18" customHeight="1" spans="1:6">
      <c r="A32" s="261" t="s">
        <v>195</v>
      </c>
      <c r="B32" s="266">
        <v>2207.83</v>
      </c>
      <c r="C32" s="265">
        <v>2500</v>
      </c>
      <c r="D32" s="254">
        <f t="shared" si="0"/>
        <v>292.17</v>
      </c>
      <c r="E32" s="255">
        <f t="shared" si="1"/>
        <v>0.132333558290267</v>
      </c>
      <c r="F32" s="256"/>
    </row>
    <row r="33" s="237" customFormat="1" ht="18" customHeight="1" spans="1:6">
      <c r="A33" s="261" t="s">
        <v>196</v>
      </c>
      <c r="B33" s="266">
        <v>1039.72</v>
      </c>
      <c r="C33" s="265">
        <v>1400</v>
      </c>
      <c r="D33" s="254">
        <f t="shared" si="0"/>
        <v>360.28</v>
      </c>
      <c r="E33" s="255">
        <f t="shared" si="1"/>
        <v>0.346516369791867</v>
      </c>
      <c r="F33" s="260"/>
    </row>
    <row r="34" s="237" customFormat="1" ht="18" customHeight="1" spans="1:6">
      <c r="A34" s="261" t="s">
        <v>197</v>
      </c>
      <c r="B34" s="266">
        <v>439.31</v>
      </c>
      <c r="C34" s="265">
        <v>370</v>
      </c>
      <c r="D34" s="254">
        <f t="shared" si="0"/>
        <v>-69.31</v>
      </c>
      <c r="E34" s="255">
        <f t="shared" si="1"/>
        <v>-0.157770139537001</v>
      </c>
      <c r="F34" s="256"/>
    </row>
    <row r="35" s="237" customFormat="1" ht="18" customHeight="1" spans="1:6">
      <c r="A35" s="261" t="s">
        <v>198</v>
      </c>
      <c r="B35" s="267">
        <v>490.8</v>
      </c>
      <c r="C35" s="265">
        <v>400</v>
      </c>
      <c r="D35" s="254">
        <f t="shared" si="0"/>
        <v>-90.8</v>
      </c>
      <c r="E35" s="255">
        <f t="shared" si="1"/>
        <v>-0.185004074979625</v>
      </c>
      <c r="F35" s="256"/>
    </row>
    <row r="36" s="237" customFormat="1" ht="18" customHeight="1" spans="1:6">
      <c r="A36" s="261" t="s">
        <v>199</v>
      </c>
      <c r="B36" s="267">
        <v>259.81</v>
      </c>
      <c r="C36" s="265">
        <v>200</v>
      </c>
      <c r="D36" s="254">
        <f t="shared" si="0"/>
        <v>-59.81</v>
      </c>
      <c r="E36" s="255">
        <f t="shared" si="1"/>
        <v>-0.230206689503868</v>
      </c>
      <c r="F36" s="256"/>
    </row>
    <row r="37" s="237" customFormat="1" ht="18" customHeight="1" spans="1:6">
      <c r="A37" s="261" t="s">
        <v>200</v>
      </c>
      <c r="B37" s="267">
        <v>1676.4</v>
      </c>
      <c r="C37" s="265">
        <v>1500</v>
      </c>
      <c r="D37" s="254">
        <f t="shared" si="0"/>
        <v>-176.4</v>
      </c>
      <c r="E37" s="255">
        <f t="shared" si="1"/>
        <v>-0.105225483178239</v>
      </c>
      <c r="F37" s="256"/>
    </row>
    <row r="38" s="237" customFormat="1" ht="18" customHeight="1" spans="1:6">
      <c r="A38" s="261" t="s">
        <v>201</v>
      </c>
      <c r="B38" s="267">
        <v>514.91</v>
      </c>
      <c r="C38" s="265">
        <v>600</v>
      </c>
      <c r="D38" s="254">
        <f t="shared" si="0"/>
        <v>85.09</v>
      </c>
      <c r="E38" s="255">
        <f t="shared" si="1"/>
        <v>0.16525217999262</v>
      </c>
      <c r="F38" s="256"/>
    </row>
    <row r="39" s="237" customFormat="1" ht="18" customHeight="1" spans="1:6">
      <c r="A39" s="261" t="s">
        <v>202</v>
      </c>
      <c r="B39" s="267">
        <v>2845.95</v>
      </c>
      <c r="C39" s="265">
        <v>500</v>
      </c>
      <c r="D39" s="254">
        <f t="shared" ref="D39:D70" si="2">SUM(C39-B39)</f>
        <v>-2345.95</v>
      </c>
      <c r="E39" s="255">
        <f t="shared" ref="E39:E70" si="3">SUM(D39/B39)</f>
        <v>-0.824311741246332</v>
      </c>
      <c r="F39" s="256"/>
    </row>
    <row r="40" s="237" customFormat="1" ht="18" customHeight="1" spans="1:6">
      <c r="A40" s="261" t="s">
        <v>203</v>
      </c>
      <c r="B40" s="267">
        <v>2720.99</v>
      </c>
      <c r="C40" s="265">
        <v>2500</v>
      </c>
      <c r="D40" s="254">
        <f t="shared" si="2"/>
        <v>-220.99</v>
      </c>
      <c r="E40" s="255">
        <f t="shared" si="3"/>
        <v>-0.081216763016402</v>
      </c>
      <c r="F40" s="256"/>
    </row>
    <row r="41" s="237" customFormat="1" ht="18" customHeight="1" spans="1:6">
      <c r="A41" s="261" t="s">
        <v>204</v>
      </c>
      <c r="B41" s="268">
        <v>122.47</v>
      </c>
      <c r="C41" s="269">
        <v>126</v>
      </c>
      <c r="D41" s="254">
        <f t="shared" si="2"/>
        <v>3.53</v>
      </c>
      <c r="E41" s="255">
        <f t="shared" si="3"/>
        <v>0.0288233853188536</v>
      </c>
      <c r="F41" s="256"/>
    </row>
    <row r="42" s="237" customFormat="1" ht="18" customHeight="1" spans="1:6">
      <c r="A42" s="261" t="s">
        <v>205</v>
      </c>
      <c r="B42" s="263"/>
      <c r="C42" s="263"/>
      <c r="D42" s="254">
        <f t="shared" si="2"/>
        <v>0</v>
      </c>
      <c r="E42" s="255"/>
      <c r="F42" s="256"/>
    </row>
    <row r="43" s="237" customFormat="1" ht="18" customHeight="1" spans="1:6">
      <c r="A43" s="270" t="s">
        <v>34</v>
      </c>
      <c r="B43" s="271">
        <f>SUM(B44,B57,B78,B88,B92:B95)</f>
        <v>19007.4042</v>
      </c>
      <c r="C43" s="271">
        <f>SUM(C44,C57,C78,C88,C92:C95)</f>
        <v>26045</v>
      </c>
      <c r="D43" s="254">
        <f t="shared" si="2"/>
        <v>7037.5958</v>
      </c>
      <c r="E43" s="255">
        <f t="shared" si="3"/>
        <v>0.37025549233072</v>
      </c>
      <c r="F43" s="256"/>
    </row>
    <row r="44" s="237" customFormat="1" ht="18" customHeight="1" spans="1:6">
      <c r="A44" s="261" t="s">
        <v>206</v>
      </c>
      <c r="B44" s="258">
        <f>SUM(B45:B56)</f>
        <v>1886.94</v>
      </c>
      <c r="C44" s="258">
        <f>SUM(C45:C56)</f>
        <v>2050</v>
      </c>
      <c r="D44" s="254">
        <f t="shared" si="2"/>
        <v>163.06</v>
      </c>
      <c r="E44" s="255">
        <f t="shared" si="3"/>
        <v>0.0864150423436887</v>
      </c>
      <c r="F44" s="256"/>
    </row>
    <row r="45" s="237" customFormat="1" ht="18" customHeight="1" spans="1:6">
      <c r="A45" s="261" t="s">
        <v>207</v>
      </c>
      <c r="B45" s="258"/>
      <c r="C45" s="272"/>
      <c r="D45" s="254">
        <f t="shared" si="2"/>
        <v>0</v>
      </c>
      <c r="E45" s="255"/>
      <c r="F45" s="256"/>
    </row>
    <row r="46" s="237" customFormat="1" ht="18" customHeight="1" spans="1:6">
      <c r="A46" s="261" t="s">
        <v>208</v>
      </c>
      <c r="B46" s="258"/>
      <c r="C46" s="272"/>
      <c r="D46" s="254">
        <f t="shared" si="2"/>
        <v>0</v>
      </c>
      <c r="E46" s="255"/>
      <c r="F46" s="256"/>
    </row>
    <row r="47" s="237" customFormat="1" ht="18" customHeight="1" spans="1:6">
      <c r="A47" s="261" t="s">
        <v>209</v>
      </c>
      <c r="B47" s="258">
        <v>788.26</v>
      </c>
      <c r="C47" s="273">
        <v>800</v>
      </c>
      <c r="D47" s="254">
        <f t="shared" si="2"/>
        <v>11.74</v>
      </c>
      <c r="E47" s="255">
        <f t="shared" si="3"/>
        <v>0.0148935630375764</v>
      </c>
      <c r="F47" s="256"/>
    </row>
    <row r="48" s="237" customFormat="1" ht="18" customHeight="1" spans="1:6">
      <c r="A48" s="261" t="s">
        <v>210</v>
      </c>
      <c r="B48" s="258"/>
      <c r="C48" s="273"/>
      <c r="D48" s="254">
        <f t="shared" si="2"/>
        <v>0</v>
      </c>
      <c r="E48" s="255"/>
      <c r="F48" s="256"/>
    </row>
    <row r="49" s="237" customFormat="1" ht="18" customHeight="1" spans="1:6">
      <c r="A49" s="274" t="s">
        <v>211</v>
      </c>
      <c r="B49" s="258">
        <v>526.51</v>
      </c>
      <c r="C49" s="273">
        <v>600</v>
      </c>
      <c r="D49" s="254">
        <f t="shared" si="2"/>
        <v>73.49</v>
      </c>
      <c r="E49" s="255">
        <f t="shared" si="3"/>
        <v>0.139579495166284</v>
      </c>
      <c r="F49" s="256"/>
    </row>
    <row r="50" s="237" customFormat="1" ht="18" customHeight="1" spans="1:6">
      <c r="A50" s="274" t="s">
        <v>212</v>
      </c>
      <c r="B50" s="258"/>
      <c r="C50" s="273"/>
      <c r="D50" s="254">
        <f t="shared" si="2"/>
        <v>0</v>
      </c>
      <c r="E50" s="255"/>
      <c r="F50" s="256"/>
    </row>
    <row r="51" s="237" customFormat="1" ht="18" customHeight="1" spans="1:6">
      <c r="A51" s="274" t="s">
        <v>213</v>
      </c>
      <c r="B51" s="258">
        <v>308.83</v>
      </c>
      <c r="C51" s="273">
        <v>350</v>
      </c>
      <c r="D51" s="254">
        <f t="shared" si="2"/>
        <v>41.17</v>
      </c>
      <c r="E51" s="255">
        <f t="shared" si="3"/>
        <v>0.133309587799113</v>
      </c>
      <c r="F51" s="256"/>
    </row>
    <row r="52" s="237" customFormat="1" ht="18" customHeight="1" spans="1:6">
      <c r="A52" s="274" t="s">
        <v>214</v>
      </c>
      <c r="B52" s="258"/>
      <c r="C52" s="273"/>
      <c r="D52" s="254">
        <f t="shared" si="2"/>
        <v>0</v>
      </c>
      <c r="E52" s="255"/>
      <c r="F52" s="256"/>
    </row>
    <row r="53" s="237" customFormat="1" ht="18" customHeight="1" spans="1:6">
      <c r="A53" s="274" t="s">
        <v>215</v>
      </c>
      <c r="B53" s="92"/>
      <c r="C53" s="273"/>
      <c r="D53" s="254">
        <f>SUM(C53-B56)</f>
        <v>-121.89</v>
      </c>
      <c r="E53" s="255">
        <f>SUM(D53/B56)</f>
        <v>-1</v>
      </c>
      <c r="F53" s="256"/>
    </row>
    <row r="54" s="237" customFormat="1" ht="18" customHeight="1" spans="1:6">
      <c r="A54" s="274" t="s">
        <v>216</v>
      </c>
      <c r="B54" s="258"/>
      <c r="C54" s="273"/>
      <c r="D54" s="254">
        <f t="shared" si="2"/>
        <v>0</v>
      </c>
      <c r="E54" s="255">
        <f>SUM(D54/B57)</f>
        <v>0</v>
      </c>
      <c r="F54" s="256"/>
    </row>
    <row r="55" s="237" customFormat="1" ht="18" customHeight="1" spans="1:6">
      <c r="A55" s="274" t="s">
        <v>217</v>
      </c>
      <c r="B55" s="258">
        <v>141.45</v>
      </c>
      <c r="C55" s="273"/>
      <c r="D55" s="254">
        <f>SUM(C55-B58)</f>
        <v>-160.49</v>
      </c>
      <c r="E55" s="255">
        <f>SUM(D55/B58)</f>
        <v>-1</v>
      </c>
      <c r="F55" s="256"/>
    </row>
    <row r="56" s="237" customFormat="1" ht="18" customHeight="1" spans="1:6">
      <c r="A56" s="274" t="s">
        <v>218</v>
      </c>
      <c r="B56" s="258">
        <v>121.89</v>
      </c>
      <c r="C56" s="273">
        <v>300</v>
      </c>
      <c r="D56" s="254">
        <f>SUM(C56-B56)</f>
        <v>178.11</v>
      </c>
      <c r="E56" s="255"/>
      <c r="F56" s="256"/>
    </row>
    <row r="57" s="237" customFormat="1" ht="18" customHeight="1" spans="1:6">
      <c r="A57" s="261" t="s">
        <v>219</v>
      </c>
      <c r="B57" s="258">
        <f>SUM(B58:B77)</f>
        <v>3111.973</v>
      </c>
      <c r="C57" s="258">
        <f>SUM(C58:C77)</f>
        <v>3100</v>
      </c>
      <c r="D57" s="254">
        <f t="shared" si="2"/>
        <v>-11.973</v>
      </c>
      <c r="E57" s="255">
        <f t="shared" si="3"/>
        <v>-0.00384739841894514</v>
      </c>
      <c r="F57" s="256"/>
    </row>
    <row r="58" s="237" customFormat="1" ht="18" customHeight="1" spans="1:6">
      <c r="A58" s="261" t="s">
        <v>220</v>
      </c>
      <c r="B58" s="258">
        <v>160.49</v>
      </c>
      <c r="C58" s="258">
        <v>180</v>
      </c>
      <c r="D58" s="254">
        <f t="shared" si="2"/>
        <v>19.51</v>
      </c>
      <c r="E58" s="255">
        <f t="shared" si="3"/>
        <v>0.121565206554925</v>
      </c>
      <c r="F58" s="256"/>
    </row>
    <row r="59" s="237" customFormat="1" ht="18" customHeight="1" spans="1:6">
      <c r="A59" s="261" t="s">
        <v>221</v>
      </c>
      <c r="B59" s="258"/>
      <c r="C59" s="258">
        <v>50</v>
      </c>
      <c r="D59" s="254">
        <f t="shared" si="2"/>
        <v>50</v>
      </c>
      <c r="E59" s="255"/>
      <c r="F59" s="256"/>
    </row>
    <row r="60" s="237" customFormat="1" ht="18" customHeight="1" spans="1:6">
      <c r="A60" s="261" t="s">
        <v>222</v>
      </c>
      <c r="B60" s="258"/>
      <c r="C60" s="258"/>
      <c r="D60" s="254">
        <f t="shared" si="2"/>
        <v>0</v>
      </c>
      <c r="E60" s="255"/>
      <c r="F60" s="256"/>
    </row>
    <row r="61" s="237" customFormat="1" ht="18" customHeight="1" spans="1:6">
      <c r="A61" s="261" t="s">
        <v>223</v>
      </c>
      <c r="B61" s="258"/>
      <c r="C61" s="258"/>
      <c r="D61" s="254">
        <f t="shared" si="2"/>
        <v>0</v>
      </c>
      <c r="E61" s="255"/>
      <c r="F61" s="256"/>
    </row>
    <row r="62" s="237" customFormat="1" ht="18" customHeight="1" spans="1:6">
      <c r="A62" s="261" t="s">
        <v>224</v>
      </c>
      <c r="B62" s="258"/>
      <c r="C62" s="258"/>
      <c r="D62" s="254">
        <f t="shared" si="2"/>
        <v>0</v>
      </c>
      <c r="E62" s="255"/>
      <c r="F62" s="256"/>
    </row>
    <row r="63" s="237" customFormat="1" ht="18" customHeight="1" spans="1:6">
      <c r="A63" s="261" t="s">
        <v>225</v>
      </c>
      <c r="B63" s="258">
        <v>466.67</v>
      </c>
      <c r="C63" s="258">
        <v>400</v>
      </c>
      <c r="D63" s="254">
        <f t="shared" si="2"/>
        <v>-66.67</v>
      </c>
      <c r="E63" s="255">
        <f t="shared" si="3"/>
        <v>-0.142863265262391</v>
      </c>
      <c r="F63" s="256"/>
    </row>
    <row r="64" s="237" customFormat="1" ht="18" customHeight="1" spans="1:6">
      <c r="A64" s="261" t="s">
        <v>226</v>
      </c>
      <c r="B64" s="258"/>
      <c r="C64" s="258"/>
      <c r="D64" s="254">
        <f t="shared" si="2"/>
        <v>0</v>
      </c>
      <c r="E64" s="255"/>
      <c r="F64" s="256"/>
    </row>
    <row r="65" s="237" customFormat="1" ht="18" customHeight="1" spans="1:6">
      <c r="A65" s="261" t="s">
        <v>227</v>
      </c>
      <c r="B65" s="273">
        <v>1960.47</v>
      </c>
      <c r="C65" s="273">
        <v>2000</v>
      </c>
      <c r="D65" s="254">
        <f t="shared" si="2"/>
        <v>39.53</v>
      </c>
      <c r="E65" s="255">
        <f t="shared" si="3"/>
        <v>0.0201635322142139</v>
      </c>
      <c r="F65" s="256"/>
    </row>
    <row r="66" s="237" customFormat="1" ht="18" customHeight="1" spans="1:6">
      <c r="A66" s="261" t="s">
        <v>228</v>
      </c>
      <c r="B66" s="258">
        <v>52.15</v>
      </c>
      <c r="C66" s="258">
        <v>50</v>
      </c>
      <c r="D66" s="254">
        <f t="shared" si="2"/>
        <v>-2.15</v>
      </c>
      <c r="E66" s="255">
        <f t="shared" si="3"/>
        <v>-0.0412272291466922</v>
      </c>
      <c r="F66" s="256"/>
    </row>
    <row r="67" s="237" customFormat="1" ht="18" customHeight="1" spans="1:6">
      <c r="A67" s="261" t="s">
        <v>229</v>
      </c>
      <c r="B67" s="258">
        <v>190.31</v>
      </c>
      <c r="C67" s="258">
        <v>210</v>
      </c>
      <c r="D67" s="254">
        <f t="shared" si="2"/>
        <v>19.69</v>
      </c>
      <c r="E67" s="255">
        <f t="shared" si="3"/>
        <v>0.103462771267931</v>
      </c>
      <c r="F67" s="256"/>
    </row>
    <row r="68" s="237" customFormat="1" ht="18" customHeight="1" spans="1:6">
      <c r="A68" s="261" t="s">
        <v>230</v>
      </c>
      <c r="B68" s="258"/>
      <c r="C68" s="258"/>
      <c r="D68" s="254">
        <f t="shared" si="2"/>
        <v>0</v>
      </c>
      <c r="E68" s="255"/>
      <c r="F68" s="256"/>
    </row>
    <row r="69" s="237" customFormat="1" ht="18" customHeight="1" spans="1:6">
      <c r="A69" s="261" t="s">
        <v>231</v>
      </c>
      <c r="B69" s="258">
        <v>3.24</v>
      </c>
      <c r="C69" s="258"/>
      <c r="D69" s="254">
        <f t="shared" si="2"/>
        <v>-3.24</v>
      </c>
      <c r="E69" s="255">
        <f t="shared" si="3"/>
        <v>-1</v>
      </c>
      <c r="F69" s="256"/>
    </row>
    <row r="70" s="237" customFormat="1" ht="18" customHeight="1" spans="1:6">
      <c r="A70" s="261" t="s">
        <v>232</v>
      </c>
      <c r="B70" s="258">
        <v>2.158</v>
      </c>
      <c r="C70" s="258"/>
      <c r="D70" s="254">
        <f t="shared" si="2"/>
        <v>-2.158</v>
      </c>
      <c r="E70" s="255">
        <f t="shared" si="3"/>
        <v>-1</v>
      </c>
      <c r="F70" s="256"/>
    </row>
    <row r="71" s="237" customFormat="1" ht="18" customHeight="1" spans="1:6">
      <c r="A71" s="261" t="s">
        <v>233</v>
      </c>
      <c r="B71" s="258"/>
      <c r="C71" s="258"/>
      <c r="D71" s="254">
        <f t="shared" ref="D71:D113" si="4">SUM(C71-B71)</f>
        <v>0</v>
      </c>
      <c r="E71" s="255"/>
      <c r="F71" s="256"/>
    </row>
    <row r="72" s="237" customFormat="1" ht="18" customHeight="1" spans="1:6">
      <c r="A72" s="261" t="s">
        <v>234</v>
      </c>
      <c r="B72" s="258">
        <v>215.6</v>
      </c>
      <c r="C72" s="258">
        <v>180</v>
      </c>
      <c r="D72" s="254">
        <f t="shared" si="4"/>
        <v>-35.6</v>
      </c>
      <c r="E72" s="255">
        <f t="shared" ref="E71:E113" si="5">SUM(D72/B72)</f>
        <v>-0.165120593692022</v>
      </c>
      <c r="F72" s="256"/>
    </row>
    <row r="73" s="237" customFormat="1" ht="18" customHeight="1" spans="1:6">
      <c r="A73" s="261" t="s">
        <v>235</v>
      </c>
      <c r="B73" s="258">
        <v>58.75</v>
      </c>
      <c r="C73" s="258">
        <v>30</v>
      </c>
      <c r="D73" s="254">
        <f t="shared" si="4"/>
        <v>-28.75</v>
      </c>
      <c r="E73" s="255">
        <f t="shared" si="5"/>
        <v>-0.48936170212766</v>
      </c>
      <c r="F73" s="256"/>
    </row>
    <row r="74" s="237" customFormat="1" ht="18" customHeight="1" spans="1:6">
      <c r="A74" s="261" t="s">
        <v>236</v>
      </c>
      <c r="B74" s="258"/>
      <c r="C74" s="258"/>
      <c r="D74" s="254">
        <f t="shared" si="4"/>
        <v>0</v>
      </c>
      <c r="E74" s="255"/>
      <c r="F74" s="256"/>
    </row>
    <row r="75" s="237" customFormat="1" ht="18" customHeight="1" spans="1:6">
      <c r="A75" s="261" t="s">
        <v>237</v>
      </c>
      <c r="B75" s="258">
        <v>2.135</v>
      </c>
      <c r="C75" s="258"/>
      <c r="D75" s="254">
        <f t="shared" si="4"/>
        <v>-2.135</v>
      </c>
      <c r="E75" s="255">
        <f t="shared" si="5"/>
        <v>-1</v>
      </c>
      <c r="F75" s="256"/>
    </row>
    <row r="76" s="237" customFormat="1" ht="18" customHeight="1" spans="1:6">
      <c r="A76" s="261" t="s">
        <v>238</v>
      </c>
      <c r="B76" s="258"/>
      <c r="C76" s="258"/>
      <c r="D76" s="254">
        <f t="shared" si="4"/>
        <v>0</v>
      </c>
      <c r="E76" s="255"/>
      <c r="F76" s="256"/>
    </row>
    <row r="77" s="237" customFormat="1" ht="18" customHeight="1" spans="1:6">
      <c r="A77" s="261" t="s">
        <v>239</v>
      </c>
      <c r="B77" s="258"/>
      <c r="C77" s="258"/>
      <c r="D77" s="254">
        <f t="shared" si="4"/>
        <v>0</v>
      </c>
      <c r="E77" s="255"/>
      <c r="F77" s="256"/>
    </row>
    <row r="78" s="237" customFormat="1" ht="18" customHeight="1" spans="1:6">
      <c r="A78" s="261" t="s">
        <v>240</v>
      </c>
      <c r="B78" s="258">
        <f>SUM(B79:B87)</f>
        <v>2778.42</v>
      </c>
      <c r="C78" s="258">
        <f>SUM(C79:C87)</f>
        <v>2000</v>
      </c>
      <c r="D78" s="254">
        <f t="shared" si="4"/>
        <v>-778.42</v>
      </c>
      <c r="E78" s="255">
        <f t="shared" si="5"/>
        <v>-0.280166425522419</v>
      </c>
      <c r="F78" s="256"/>
    </row>
    <row r="79" s="237" customFormat="1" ht="18" customHeight="1" spans="1:6">
      <c r="A79" s="261" t="s">
        <v>241</v>
      </c>
      <c r="B79" s="258">
        <v>437.88</v>
      </c>
      <c r="C79" s="258">
        <v>460</v>
      </c>
      <c r="D79" s="254">
        <f t="shared" si="4"/>
        <v>22.12</v>
      </c>
      <c r="E79" s="255">
        <f t="shared" si="5"/>
        <v>0.0505161231387595</v>
      </c>
      <c r="F79" s="256"/>
    </row>
    <row r="80" s="237" customFormat="1" ht="18" customHeight="1" spans="1:6">
      <c r="A80" s="261" t="s">
        <v>242</v>
      </c>
      <c r="B80" s="258">
        <v>56.44</v>
      </c>
      <c r="C80" s="258"/>
      <c r="D80" s="254">
        <f t="shared" si="4"/>
        <v>-56.44</v>
      </c>
      <c r="E80" s="255">
        <f t="shared" si="5"/>
        <v>-1</v>
      </c>
      <c r="F80" s="256"/>
    </row>
    <row r="81" s="237" customFormat="1" ht="18" customHeight="1" spans="1:6">
      <c r="A81" s="261" t="s">
        <v>243</v>
      </c>
      <c r="B81" s="258">
        <v>30</v>
      </c>
      <c r="C81" s="258">
        <v>100</v>
      </c>
      <c r="D81" s="254">
        <f t="shared" si="4"/>
        <v>70</v>
      </c>
      <c r="E81" s="255">
        <f t="shared" si="5"/>
        <v>2.33333333333333</v>
      </c>
      <c r="F81" s="256"/>
    </row>
    <row r="82" s="237" customFormat="1" ht="18" customHeight="1" spans="1:6">
      <c r="A82" s="261" t="s">
        <v>244</v>
      </c>
      <c r="B82" s="258">
        <v>7.16</v>
      </c>
      <c r="C82" s="258"/>
      <c r="D82" s="254">
        <f t="shared" si="4"/>
        <v>-7.16</v>
      </c>
      <c r="E82" s="255">
        <f t="shared" si="5"/>
        <v>-1</v>
      </c>
      <c r="F82" s="256"/>
    </row>
    <row r="83" s="237" customFormat="1" ht="18" customHeight="1" spans="1:6">
      <c r="A83" s="261" t="s">
        <v>245</v>
      </c>
      <c r="B83" s="258">
        <v>1.93</v>
      </c>
      <c r="C83" s="258"/>
      <c r="D83" s="254">
        <f t="shared" si="4"/>
        <v>-1.93</v>
      </c>
      <c r="E83" s="255">
        <f t="shared" si="5"/>
        <v>-1</v>
      </c>
      <c r="F83" s="256"/>
    </row>
    <row r="84" s="237" customFormat="1" ht="18" customHeight="1" spans="1:6">
      <c r="A84" s="261" t="s">
        <v>246</v>
      </c>
      <c r="B84" s="258">
        <v>48.11</v>
      </c>
      <c r="C84" s="258"/>
      <c r="D84" s="254">
        <f t="shared" si="4"/>
        <v>-48.11</v>
      </c>
      <c r="E84" s="255">
        <f t="shared" si="5"/>
        <v>-1</v>
      </c>
      <c r="F84" s="256"/>
    </row>
    <row r="85" s="237" customFormat="1" ht="18" customHeight="1" spans="1:6">
      <c r="A85" s="261" t="s">
        <v>247</v>
      </c>
      <c r="B85" s="258"/>
      <c r="C85" s="258"/>
      <c r="D85" s="254">
        <f t="shared" si="4"/>
        <v>0</v>
      </c>
      <c r="E85" s="255"/>
      <c r="F85" s="256"/>
    </row>
    <row r="86" s="237" customFormat="1" ht="18" customHeight="1" spans="1:6">
      <c r="A86" s="261" t="s">
        <v>248</v>
      </c>
      <c r="B86" s="258"/>
      <c r="C86" s="258"/>
      <c r="D86" s="254">
        <f t="shared" si="4"/>
        <v>0</v>
      </c>
      <c r="E86" s="255"/>
      <c r="F86" s="256"/>
    </row>
    <row r="87" s="237" customFormat="1" ht="18" customHeight="1" spans="1:6">
      <c r="A87" s="261" t="s">
        <v>249</v>
      </c>
      <c r="B87" s="258">
        <v>2196.9</v>
      </c>
      <c r="C87" s="258">
        <v>1440</v>
      </c>
      <c r="D87" s="254">
        <f t="shared" si="4"/>
        <v>-756.9</v>
      </c>
      <c r="E87" s="255">
        <f t="shared" si="5"/>
        <v>-0.344530929946743</v>
      </c>
      <c r="F87" s="256"/>
    </row>
    <row r="88" s="237" customFormat="1" ht="18" customHeight="1" spans="1:6">
      <c r="A88" s="261" t="s">
        <v>250</v>
      </c>
      <c r="B88" s="258">
        <f>SUM(B89:B90,B91)</f>
        <v>0</v>
      </c>
      <c r="C88" s="258">
        <f>SUM(C89:C90,C91)</f>
        <v>40</v>
      </c>
      <c r="D88" s="254">
        <f t="shared" si="4"/>
        <v>40</v>
      </c>
      <c r="E88" s="255"/>
      <c r="F88" s="256"/>
    </row>
    <row r="89" s="237" customFormat="1" ht="18" customHeight="1" spans="1:6">
      <c r="A89" s="261" t="s">
        <v>251</v>
      </c>
      <c r="B89" s="258">
        <v>0</v>
      </c>
      <c r="C89" s="258">
        <v>40</v>
      </c>
      <c r="D89" s="254">
        <f t="shared" si="4"/>
        <v>40</v>
      </c>
      <c r="E89" s="255"/>
      <c r="F89" s="256"/>
    </row>
    <row r="90" s="237" customFormat="1" ht="18" customHeight="1" spans="1:6">
      <c r="A90" s="261" t="s">
        <v>252</v>
      </c>
      <c r="B90" s="258"/>
      <c r="C90" s="258"/>
      <c r="D90" s="254">
        <f t="shared" si="4"/>
        <v>0</v>
      </c>
      <c r="E90" s="255"/>
      <c r="F90" s="256"/>
    </row>
    <row r="91" s="237" customFormat="1" ht="18" customHeight="1" spans="1:6">
      <c r="A91" s="261" t="s">
        <v>253</v>
      </c>
      <c r="B91" s="258"/>
      <c r="C91" s="258"/>
      <c r="D91" s="254">
        <f t="shared" si="4"/>
        <v>0</v>
      </c>
      <c r="E91" s="255"/>
      <c r="F91" s="256"/>
    </row>
    <row r="92" s="237" customFormat="1" ht="18" customHeight="1" spans="1:6">
      <c r="A92" s="261" t="s">
        <v>254</v>
      </c>
      <c r="B92" s="258">
        <v>10092.33</v>
      </c>
      <c r="C92" s="258">
        <f>18255+500</f>
        <v>18755</v>
      </c>
      <c r="D92" s="254">
        <f t="shared" si="4"/>
        <v>8662.67</v>
      </c>
      <c r="E92" s="255">
        <f t="shared" si="5"/>
        <v>0.858341928969822</v>
      </c>
      <c r="F92" s="256"/>
    </row>
    <row r="93" s="237" customFormat="1" ht="18" customHeight="1" spans="1:6">
      <c r="A93" s="261" t="s">
        <v>255</v>
      </c>
      <c r="B93" s="258">
        <v>0.8312</v>
      </c>
      <c r="C93" s="258"/>
      <c r="D93" s="254">
        <f t="shared" si="4"/>
        <v>-0.8312</v>
      </c>
      <c r="E93" s="255">
        <f t="shared" si="5"/>
        <v>-1</v>
      </c>
      <c r="F93" s="256"/>
    </row>
    <row r="94" s="237" customFormat="1" ht="18" customHeight="1" spans="1:6">
      <c r="A94" s="261" t="s">
        <v>256</v>
      </c>
      <c r="B94" s="258">
        <v>155.52</v>
      </c>
      <c r="C94" s="258">
        <v>80</v>
      </c>
      <c r="D94" s="254">
        <f t="shared" si="4"/>
        <v>-75.52</v>
      </c>
      <c r="E94" s="255">
        <f t="shared" si="5"/>
        <v>-0.48559670781893</v>
      </c>
      <c r="F94" s="256"/>
    </row>
    <row r="95" s="237" customFormat="1" ht="18" customHeight="1" spans="1:6">
      <c r="A95" s="261" t="s">
        <v>257</v>
      </c>
      <c r="B95" s="258">
        <v>981.39</v>
      </c>
      <c r="C95" s="258">
        <v>20</v>
      </c>
      <c r="D95" s="254">
        <f t="shared" si="4"/>
        <v>-961.39</v>
      </c>
      <c r="E95" s="255">
        <f t="shared" si="5"/>
        <v>-0.979620742008783</v>
      </c>
      <c r="F95" s="256"/>
    </row>
    <row r="96" s="237" customFormat="1" ht="18" customHeight="1" spans="1:6">
      <c r="A96" s="275" t="s">
        <v>258</v>
      </c>
      <c r="B96" s="271">
        <f>SUM(B6,B43)</f>
        <v>40780.307327</v>
      </c>
      <c r="C96" s="271">
        <f>SUM(C6,C43)</f>
        <v>46158</v>
      </c>
      <c r="D96" s="254">
        <f t="shared" si="4"/>
        <v>5377.692673</v>
      </c>
      <c r="E96" s="255">
        <f t="shared" si="5"/>
        <v>0.131869841732152</v>
      </c>
      <c r="F96" s="256"/>
    </row>
    <row r="97" s="237" customFormat="1" ht="18" customHeight="1" spans="1:6">
      <c r="A97" s="275" t="s">
        <v>259</v>
      </c>
      <c r="B97" s="271">
        <f>SUM(B98:B99)</f>
        <v>12727.43</v>
      </c>
      <c r="C97" s="271">
        <f>SUM(C98:C99)</f>
        <v>13505</v>
      </c>
      <c r="D97" s="254">
        <f t="shared" si="4"/>
        <v>777.57</v>
      </c>
      <c r="E97" s="255">
        <f t="shared" si="5"/>
        <v>0.0610940307666198</v>
      </c>
      <c r="F97" s="256"/>
    </row>
    <row r="98" s="237" customFormat="1" ht="18" customHeight="1" spans="1:6">
      <c r="A98" s="259" t="s">
        <v>260</v>
      </c>
      <c r="B98" s="258">
        <v>12722</v>
      </c>
      <c r="C98" s="258">
        <v>13500</v>
      </c>
      <c r="D98" s="254">
        <f t="shared" si="4"/>
        <v>778</v>
      </c>
      <c r="E98" s="255">
        <f t="shared" si="5"/>
        <v>0.0611539066184562</v>
      </c>
      <c r="F98" s="256"/>
    </row>
    <row r="99" s="237" customFormat="1" ht="18" customHeight="1" spans="1:6">
      <c r="A99" s="259" t="s">
        <v>261</v>
      </c>
      <c r="B99" s="258">
        <v>5.43</v>
      </c>
      <c r="C99" s="258">
        <v>5</v>
      </c>
      <c r="D99" s="254">
        <f t="shared" si="4"/>
        <v>-0.43</v>
      </c>
      <c r="E99" s="255">
        <f t="shared" si="5"/>
        <v>-0.0791896869244935</v>
      </c>
      <c r="F99" s="256"/>
    </row>
    <row r="100" s="237" customFormat="1" ht="18" customHeight="1" spans="1:6">
      <c r="A100" s="275" t="s">
        <v>262</v>
      </c>
      <c r="B100" s="271">
        <f>SUM(B101:B102)</f>
        <v>4098.68</v>
      </c>
      <c r="C100" s="271">
        <f>SUM(C101:C102)</f>
        <v>3900</v>
      </c>
      <c r="D100" s="254">
        <f t="shared" si="4"/>
        <v>-198.68</v>
      </c>
      <c r="E100" s="255">
        <f t="shared" si="5"/>
        <v>-0.0484741428947857</v>
      </c>
      <c r="F100" s="256"/>
    </row>
    <row r="101" s="237" customFormat="1" ht="18" customHeight="1" spans="1:6">
      <c r="A101" s="259" t="s">
        <v>263</v>
      </c>
      <c r="B101" s="258">
        <v>2222.15</v>
      </c>
      <c r="C101" s="258">
        <v>2400</v>
      </c>
      <c r="D101" s="254">
        <f t="shared" si="4"/>
        <v>177.85</v>
      </c>
      <c r="E101" s="255">
        <f t="shared" si="5"/>
        <v>0.080035101140787</v>
      </c>
      <c r="F101" s="256"/>
    </row>
    <row r="102" s="237" customFormat="1" ht="18" customHeight="1" spans="1:6">
      <c r="A102" s="259" t="s">
        <v>264</v>
      </c>
      <c r="B102" s="258">
        <v>1876.53</v>
      </c>
      <c r="C102" s="258">
        <v>1500</v>
      </c>
      <c r="D102" s="254">
        <f t="shared" si="4"/>
        <v>-376.53</v>
      </c>
      <c r="E102" s="255">
        <f t="shared" si="5"/>
        <v>-0.200652267749516</v>
      </c>
      <c r="F102" s="256"/>
    </row>
    <row r="103" s="237" customFormat="1" ht="18" customHeight="1" spans="1:6">
      <c r="A103" s="275" t="s">
        <v>265</v>
      </c>
      <c r="B103" s="271"/>
      <c r="C103" s="271"/>
      <c r="D103" s="254">
        <f t="shared" si="4"/>
        <v>0</v>
      </c>
      <c r="E103" s="255"/>
      <c r="F103" s="256"/>
    </row>
    <row r="104" s="237" customFormat="1" ht="18" customHeight="1" spans="1:6">
      <c r="A104" s="276" t="s">
        <v>266</v>
      </c>
      <c r="B104" s="271">
        <f>SUM(B105:B109)</f>
        <v>5725.26</v>
      </c>
      <c r="C104" s="271">
        <f>SUM(C105:C109)</f>
        <v>6137</v>
      </c>
      <c r="D104" s="254">
        <f t="shared" si="4"/>
        <v>411.74</v>
      </c>
      <c r="E104" s="255">
        <f t="shared" si="5"/>
        <v>0.0719163845834075</v>
      </c>
      <c r="F104" s="256"/>
    </row>
    <row r="105" s="237" customFormat="1" ht="18" customHeight="1" spans="1:6">
      <c r="A105" s="277" t="s">
        <v>267</v>
      </c>
      <c r="B105" s="258">
        <v>4914.97</v>
      </c>
      <c r="C105" s="258">
        <v>5308</v>
      </c>
      <c r="D105" s="254">
        <f t="shared" si="4"/>
        <v>393.03</v>
      </c>
      <c r="E105" s="255">
        <f t="shared" si="5"/>
        <v>0.0799659000970504</v>
      </c>
      <c r="F105" s="256"/>
    </row>
    <row r="106" s="237" customFormat="1" ht="18" customHeight="1" spans="1:6">
      <c r="A106" s="277" t="s">
        <v>268</v>
      </c>
      <c r="B106" s="258"/>
      <c r="C106" s="258"/>
      <c r="D106" s="254">
        <f t="shared" si="4"/>
        <v>0</v>
      </c>
      <c r="E106" s="255"/>
      <c r="F106" s="256"/>
    </row>
    <row r="107" s="237" customFormat="1" ht="18" customHeight="1" spans="1:6">
      <c r="A107" s="277" t="s">
        <v>269</v>
      </c>
      <c r="B107" s="258">
        <v>288.67</v>
      </c>
      <c r="C107" s="258">
        <v>400</v>
      </c>
      <c r="D107" s="254">
        <f t="shared" si="4"/>
        <v>111.33</v>
      </c>
      <c r="E107" s="255">
        <f t="shared" si="5"/>
        <v>0.385665292548585</v>
      </c>
      <c r="F107" s="256"/>
    </row>
    <row r="108" s="237" customFormat="1" ht="18" customHeight="1" spans="1:6">
      <c r="A108" s="277" t="s">
        <v>270</v>
      </c>
      <c r="B108" s="258">
        <v>469.13</v>
      </c>
      <c r="C108" s="258">
        <v>375</v>
      </c>
      <c r="D108" s="254">
        <f t="shared" si="4"/>
        <v>-94.13</v>
      </c>
      <c r="E108" s="255">
        <f t="shared" si="5"/>
        <v>-0.200648008014836</v>
      </c>
      <c r="F108" s="260"/>
    </row>
    <row r="109" s="237" customFormat="1" ht="18" customHeight="1" spans="1:6">
      <c r="A109" s="277" t="s">
        <v>271</v>
      </c>
      <c r="B109" s="258">
        <v>52.49</v>
      </c>
      <c r="C109" s="258">
        <v>54</v>
      </c>
      <c r="D109" s="254">
        <f t="shared" si="4"/>
        <v>1.51</v>
      </c>
      <c r="E109" s="255">
        <f t="shared" si="5"/>
        <v>0.0287673842636692</v>
      </c>
      <c r="F109" s="260"/>
    </row>
    <row r="110" s="237" customFormat="1" ht="18" customHeight="1" spans="1:6">
      <c r="A110" s="275" t="s">
        <v>272</v>
      </c>
      <c r="B110" s="271">
        <f>SUM(B96,B97,B100,B104,B103)</f>
        <v>63331.677327</v>
      </c>
      <c r="C110" s="271">
        <f>SUM(C96,C97,C100,C104)</f>
        <v>69700</v>
      </c>
      <c r="D110" s="254">
        <f t="shared" si="4"/>
        <v>6368.322673</v>
      </c>
      <c r="E110" s="255">
        <f t="shared" si="5"/>
        <v>0.100555092519001</v>
      </c>
      <c r="F110" s="256"/>
    </row>
    <row r="111" s="237" customFormat="1" ht="18" customHeight="1" spans="1:6">
      <c r="A111" s="66" t="s">
        <v>273</v>
      </c>
      <c r="B111" s="278">
        <f>SUM(B112:B113)</f>
        <v>63331.677327</v>
      </c>
      <c r="C111" s="278">
        <f>SUM(C112:C113)</f>
        <v>69700</v>
      </c>
      <c r="D111" s="254">
        <f t="shared" si="4"/>
        <v>6368.322673</v>
      </c>
      <c r="E111" s="255">
        <f t="shared" si="5"/>
        <v>0.100555092519001</v>
      </c>
      <c r="F111" s="260"/>
    </row>
    <row r="112" s="237" customFormat="1" ht="18" customHeight="1" spans="1:6">
      <c r="A112" s="66" t="s">
        <v>274</v>
      </c>
      <c r="B112" s="278">
        <f>B110-B113</f>
        <v>46069.763127</v>
      </c>
      <c r="C112" s="278">
        <f>C110-C113</f>
        <v>44455</v>
      </c>
      <c r="D112" s="254">
        <f t="shared" si="4"/>
        <v>-1614.763127</v>
      </c>
      <c r="E112" s="255">
        <f t="shared" si="5"/>
        <v>-0.0350503891793105</v>
      </c>
      <c r="F112" s="256"/>
    </row>
    <row r="113" s="178" customFormat="1" ht="18" customHeight="1" spans="1:6">
      <c r="A113" s="66" t="s">
        <v>275</v>
      </c>
      <c r="B113" s="278">
        <f>B44+B57+B78+B88+B92+B93+B94+B95-B85-B47-B49-B51-B56</f>
        <v>17261.9142</v>
      </c>
      <c r="C113" s="278">
        <f>C44+C57+C78+C88+C92+C93+C94+C95-C85-C47</f>
        <v>25245</v>
      </c>
      <c r="D113" s="254">
        <f t="shared" si="4"/>
        <v>7983.0858</v>
      </c>
      <c r="E113" s="255">
        <f t="shared" si="5"/>
        <v>0.462468165900164</v>
      </c>
      <c r="F113" s="256"/>
    </row>
    <row r="114" s="178" customFormat="1" spans="1:6">
      <c r="A114" s="279"/>
      <c r="B114" s="280"/>
      <c r="C114" s="281"/>
      <c r="D114" s="282"/>
      <c r="E114" s="237"/>
      <c r="F114" s="237"/>
    </row>
    <row r="115" s="178" customFormat="1" ht="13.2" spans="1:4">
      <c r="A115" s="238"/>
      <c r="B115" s="280"/>
      <c r="C115" s="283"/>
      <c r="D115" s="280"/>
    </row>
    <row r="116" s="178" customFormat="1" ht="13.2" spans="1:4">
      <c r="A116" s="238"/>
      <c r="B116" s="280"/>
      <c r="C116" s="283"/>
      <c r="D116" s="280"/>
    </row>
    <row r="117" s="178" customFormat="1" ht="13.2" spans="1:4">
      <c r="A117" s="238"/>
      <c r="B117" s="280"/>
      <c r="C117" s="283"/>
      <c r="D117" s="280"/>
    </row>
    <row r="118" s="178" customFormat="1" ht="13.2" spans="1:4">
      <c r="A118" s="238"/>
      <c r="B118" s="280"/>
      <c r="C118" s="283"/>
      <c r="D118" s="280"/>
    </row>
    <row r="119" s="178" customFormat="1" ht="13.2" spans="1:4">
      <c r="A119" s="238"/>
      <c r="B119" s="280"/>
      <c r="C119" s="283"/>
      <c r="D119" s="280"/>
    </row>
    <row r="120" s="178" customFormat="1" ht="13.2" spans="1:4">
      <c r="A120" s="238"/>
      <c r="B120" s="280"/>
      <c r="C120" s="283"/>
      <c r="D120" s="280"/>
    </row>
    <row r="121" s="178" customFormat="1" ht="13.2" spans="1:4">
      <c r="A121" s="238"/>
      <c r="B121" s="280"/>
      <c r="C121" s="283"/>
      <c r="D121" s="280"/>
    </row>
    <row r="122" s="178" customFormat="1" ht="13.2" spans="1:4">
      <c r="A122" s="238"/>
      <c r="B122" s="280"/>
      <c r="C122" s="283"/>
      <c r="D122" s="280"/>
    </row>
    <row r="123" s="178" customFormat="1" ht="13.2" spans="1:4">
      <c r="A123" s="238"/>
      <c r="B123" s="280"/>
      <c r="C123" s="283"/>
      <c r="D123" s="280"/>
    </row>
    <row r="124" s="178" customFormat="1" ht="13.2" spans="1:4">
      <c r="A124" s="238"/>
      <c r="B124" s="280"/>
      <c r="C124" s="283"/>
      <c r="D124" s="280"/>
    </row>
    <row r="125" s="178" customFormat="1" ht="13.2" spans="1:4">
      <c r="A125" s="238"/>
      <c r="B125" s="280"/>
      <c r="C125" s="283"/>
      <c r="D125" s="280"/>
    </row>
    <row r="126" s="178" customFormat="1" ht="13.2" spans="1:4">
      <c r="A126" s="238"/>
      <c r="B126" s="280"/>
      <c r="C126" s="283"/>
      <c r="D126" s="280"/>
    </row>
    <row r="127" s="178" customFormat="1" ht="13.2" spans="1:4">
      <c r="A127" s="238"/>
      <c r="B127" s="280"/>
      <c r="C127" s="283"/>
      <c r="D127" s="280"/>
    </row>
    <row r="128" s="178" customFormat="1" ht="13.2" spans="1:4">
      <c r="A128" s="238"/>
      <c r="B128" s="280"/>
      <c r="C128" s="280"/>
      <c r="D128" s="280"/>
    </row>
    <row r="129" s="178" customFormat="1" ht="13.2" spans="1:4">
      <c r="A129" s="238"/>
      <c r="B129" s="280"/>
      <c r="C129" s="280"/>
      <c r="D129" s="280"/>
    </row>
    <row r="130" s="178" customFormat="1" ht="13.2" spans="1:4">
      <c r="A130" s="238"/>
      <c r="B130" s="280"/>
      <c r="C130" s="280"/>
      <c r="D130" s="280"/>
    </row>
    <row r="131" s="178" customFormat="1" ht="13.2" spans="1:4">
      <c r="A131" s="238"/>
      <c r="B131" s="280"/>
      <c r="C131" s="280"/>
      <c r="D131" s="280"/>
    </row>
    <row r="132" s="178" customFormat="1" ht="13.2" spans="1:4">
      <c r="A132" s="238"/>
      <c r="B132" s="280"/>
      <c r="C132" s="280"/>
      <c r="D132" s="280"/>
    </row>
    <row r="133" s="178" customFormat="1" ht="13.2" spans="1:4">
      <c r="A133" s="238"/>
      <c r="B133" s="280"/>
      <c r="C133" s="280"/>
      <c r="D133" s="280"/>
    </row>
    <row r="134" s="178" customFormat="1" ht="13.2" spans="1:4">
      <c r="A134" s="238"/>
      <c r="B134" s="280"/>
      <c r="C134" s="280"/>
      <c r="D134" s="280"/>
    </row>
    <row r="135" s="178" customFormat="1" ht="13.2" spans="1:4">
      <c r="A135" s="238"/>
      <c r="B135" s="280"/>
      <c r="C135" s="280"/>
      <c r="D135" s="280"/>
    </row>
    <row r="136" s="178" customFormat="1" ht="13.2" spans="1:4">
      <c r="A136" s="238"/>
      <c r="B136" s="280"/>
      <c r="C136" s="280"/>
      <c r="D136" s="280"/>
    </row>
    <row r="137" s="178" customFormat="1" ht="13.2" spans="1:4">
      <c r="A137" s="238"/>
      <c r="B137" s="280"/>
      <c r="C137" s="280"/>
      <c r="D137" s="280"/>
    </row>
    <row r="138" s="178" customFormat="1" ht="13.2" spans="1:4">
      <c r="A138" s="238"/>
      <c r="B138" s="280"/>
      <c r="C138" s="280"/>
      <c r="D138" s="280"/>
    </row>
    <row r="139" s="178" customFormat="1" ht="13.2" spans="1:4">
      <c r="A139" s="238"/>
      <c r="B139" s="280"/>
      <c r="C139" s="280"/>
      <c r="D139" s="280"/>
    </row>
    <row r="140" s="178" customFormat="1" ht="13.2" spans="1:4">
      <c r="A140" s="238"/>
      <c r="B140" s="280"/>
      <c r="C140" s="280"/>
      <c r="D140" s="280"/>
    </row>
    <row r="141" s="178" customFormat="1" ht="13.2" spans="1:4">
      <c r="A141" s="238"/>
      <c r="B141" s="280"/>
      <c r="C141" s="280"/>
      <c r="D141" s="280"/>
    </row>
    <row r="142" s="178" customFormat="1" ht="13.2" spans="1:4">
      <c r="A142" s="238"/>
      <c r="B142" s="280"/>
      <c r="C142" s="280"/>
      <c r="D142" s="280"/>
    </row>
    <row r="143" s="178" customFormat="1" ht="13.2" spans="1:4">
      <c r="A143" s="238"/>
      <c r="B143" s="280"/>
      <c r="C143" s="280"/>
      <c r="D143" s="280"/>
    </row>
    <row r="144" s="178" customFormat="1" ht="13.2" spans="1:4">
      <c r="A144" s="238"/>
      <c r="B144" s="280"/>
      <c r="C144" s="280"/>
      <c r="D144" s="280"/>
    </row>
    <row r="145" s="178" customFormat="1" ht="13.2" spans="1:4">
      <c r="A145" s="238"/>
      <c r="B145" s="280"/>
      <c r="C145" s="280"/>
      <c r="D145" s="280"/>
    </row>
    <row r="146" s="178" customFormat="1" ht="13.2" spans="1:4">
      <c r="A146" s="238"/>
      <c r="B146" s="280"/>
      <c r="C146" s="280"/>
      <c r="D146" s="280"/>
    </row>
    <row r="147" s="178" customFormat="1" ht="13.2" spans="1:4">
      <c r="A147" s="238"/>
      <c r="B147" s="280"/>
      <c r="C147" s="280"/>
      <c r="D147" s="280"/>
    </row>
    <row r="148" s="178" customFormat="1" ht="13.2" spans="1:4">
      <c r="A148" s="238"/>
      <c r="B148" s="280"/>
      <c r="C148" s="280"/>
      <c r="D148" s="280"/>
    </row>
    <row r="149" s="178" customFormat="1" ht="13.2" spans="1:4">
      <c r="A149" s="238"/>
      <c r="B149" s="280"/>
      <c r="C149" s="280"/>
      <c r="D149" s="280"/>
    </row>
    <row r="150" s="178" customFormat="1" ht="13.2" spans="1:4">
      <c r="A150" s="238"/>
      <c r="B150" s="280"/>
      <c r="C150" s="280"/>
      <c r="D150" s="280"/>
    </row>
    <row r="151" s="178" customFormat="1" ht="13.2" spans="1:4">
      <c r="A151" s="238"/>
      <c r="B151" s="280"/>
      <c r="C151" s="280"/>
      <c r="D151" s="280"/>
    </row>
    <row r="152" s="178" customFormat="1" ht="13.2" spans="1:4">
      <c r="A152" s="238"/>
      <c r="B152" s="280"/>
      <c r="C152" s="280"/>
      <c r="D152" s="280"/>
    </row>
    <row r="153" s="178" customFormat="1" ht="13.2" spans="1:4">
      <c r="A153" s="238"/>
      <c r="B153" s="280"/>
      <c r="C153" s="280"/>
      <c r="D153" s="280"/>
    </row>
    <row r="154" s="178" customFormat="1" ht="13.2" spans="1:4">
      <c r="A154" s="238"/>
      <c r="B154" s="280"/>
      <c r="C154" s="280"/>
      <c r="D154" s="280"/>
    </row>
    <row r="155" s="178" customFormat="1" ht="13.2" spans="1:4">
      <c r="A155" s="238"/>
      <c r="B155" s="280"/>
      <c r="C155" s="280"/>
      <c r="D155" s="280"/>
    </row>
    <row r="156" s="178" customFormat="1" ht="13.2" spans="1:4">
      <c r="A156" s="238"/>
      <c r="B156" s="280"/>
      <c r="C156" s="280"/>
      <c r="D156" s="280"/>
    </row>
  </sheetData>
  <mergeCells count="6">
    <mergeCell ref="A2:F2"/>
    <mergeCell ref="D4:E4"/>
    <mergeCell ref="A4:A5"/>
    <mergeCell ref="B4:B5"/>
    <mergeCell ref="C4:C5"/>
    <mergeCell ref="F4:F5"/>
  </mergeCells>
  <pageMargins left="0.826388888888889" right="0.554861111111111" top="0.409027777777778" bottom="0.66875" header="0.5" footer="0.354166666666667"/>
  <pageSetup paperSize="9" firstPageNumber="29" orientation="landscape" useFirstPageNumber="1" horizontalDpi="600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696"/>
  <sheetViews>
    <sheetView showZeros="0" tabSelected="1" workbookViewId="0">
      <pane ySplit="7" topLeftCell="A1260" activePane="bottomLeft" state="frozen"/>
      <selection/>
      <selection pane="bottomLeft" activeCell="A1264" sqref="$A1264:$XFD1264"/>
    </sheetView>
  </sheetViews>
  <sheetFormatPr defaultColWidth="9.12962962962963" defaultRowHeight="13.2"/>
  <cols>
    <col min="1" max="1" width="9.75" style="176" customWidth="1"/>
    <col min="2" max="2" width="16.8796296296296" style="177" customWidth="1"/>
    <col min="3" max="3" width="10.8888888888889" style="176" customWidth="1"/>
    <col min="4" max="4" width="15.2685185185185" style="176" customWidth="1"/>
    <col min="5" max="5" width="12.8611111111111" style="176" customWidth="1"/>
    <col min="6" max="6" width="12.1296296296296" style="176" customWidth="1"/>
    <col min="7" max="7" width="11.2685185185185" style="176" customWidth="1"/>
    <col min="8" max="8" width="10" style="176" customWidth="1"/>
    <col min="9" max="9" width="12.3981481481481" style="176" customWidth="1"/>
    <col min="10" max="10" width="13.6018518518519" style="178" customWidth="1"/>
    <col min="11" max="11" width="10.462962962963" style="176" customWidth="1"/>
    <col min="12" max="12" width="12.3981481481481" style="176" customWidth="1"/>
    <col min="13" max="13" width="41.6851851851852" style="176" customWidth="1"/>
    <col min="14" max="17" width="9.12962962962963" style="176" hidden="1" customWidth="1"/>
    <col min="18" max="20" width="9.12962962962963" style="176" customWidth="1"/>
    <col min="21" max="254" width="9.12962962962963" style="176"/>
    <col min="255" max="255" width="12.8611111111111" style="176"/>
    <col min="256" max="16384" width="9.12962962962963" style="176"/>
  </cols>
  <sheetData>
    <row r="1" ht="24" customHeight="1" spans="1:19">
      <c r="A1" s="5" t="s">
        <v>276</v>
      </c>
      <c r="B1" s="179"/>
      <c r="C1" s="180"/>
      <c r="D1" s="180"/>
      <c r="E1" s="180"/>
      <c r="F1" s="180"/>
      <c r="G1" s="180"/>
      <c r="H1" s="180"/>
      <c r="I1" s="180"/>
      <c r="J1" s="206"/>
      <c r="K1" s="180"/>
      <c r="L1" s="180"/>
      <c r="M1" s="182"/>
      <c r="N1" s="180"/>
      <c r="O1" s="180"/>
      <c r="P1" s="180"/>
      <c r="Q1" s="180"/>
      <c r="R1" s="180"/>
      <c r="S1" s="180"/>
    </row>
    <row r="2" s="174" customFormat="1" ht="28" customHeight="1" spans="1:19">
      <c r="A2" s="181" t="s">
        <v>277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207"/>
      <c r="O2" s="207"/>
      <c r="P2" s="207"/>
      <c r="Q2" s="207"/>
      <c r="R2" s="207"/>
      <c r="S2" s="207"/>
    </row>
    <row r="3" ht="18.75" customHeight="1" spans="1:19">
      <c r="A3" s="182"/>
      <c r="B3" s="179"/>
      <c r="C3" s="180"/>
      <c r="D3" s="180"/>
      <c r="E3" s="180"/>
      <c r="F3" s="180"/>
      <c r="G3" s="180"/>
      <c r="H3" s="180"/>
      <c r="I3" s="180"/>
      <c r="J3" s="206"/>
      <c r="K3" s="180"/>
      <c r="L3" s="180"/>
      <c r="M3" s="208" t="s">
        <v>2</v>
      </c>
      <c r="N3" s="180"/>
      <c r="O3" s="180"/>
      <c r="P3" s="180"/>
      <c r="Q3" s="180"/>
      <c r="R3" s="180"/>
      <c r="S3" s="180"/>
    </row>
    <row r="4" s="174" customFormat="1" ht="23.25" customHeight="1" spans="1:19">
      <c r="A4" s="183" t="s">
        <v>278</v>
      </c>
      <c r="B4" s="184" t="s">
        <v>279</v>
      </c>
      <c r="C4" s="183" t="s">
        <v>122</v>
      </c>
      <c r="D4" s="185" t="s">
        <v>122</v>
      </c>
      <c r="E4" s="186" t="s">
        <v>280</v>
      </c>
      <c r="F4" s="183"/>
      <c r="G4" s="183"/>
      <c r="H4" s="183"/>
      <c r="I4" s="183" t="s">
        <v>281</v>
      </c>
      <c r="J4" s="183"/>
      <c r="K4" s="183"/>
      <c r="L4" s="183"/>
      <c r="M4" s="183" t="s">
        <v>169</v>
      </c>
      <c r="N4" s="207"/>
      <c r="O4" s="207"/>
      <c r="P4" s="207"/>
      <c r="Q4" s="207"/>
      <c r="R4" s="207"/>
      <c r="S4" s="207"/>
    </row>
    <row r="5" s="175" customFormat="1" ht="40.05" customHeight="1" spans="1:19">
      <c r="A5" s="184"/>
      <c r="B5" s="184"/>
      <c r="C5" s="184"/>
      <c r="D5" s="187"/>
      <c r="E5" s="188" t="s">
        <v>282</v>
      </c>
      <c r="F5" s="189" t="s">
        <v>283</v>
      </c>
      <c r="G5" s="184" t="s">
        <v>284</v>
      </c>
      <c r="H5" s="184" t="s">
        <v>285</v>
      </c>
      <c r="I5" s="184" t="s">
        <v>282</v>
      </c>
      <c r="J5" s="184" t="s">
        <v>286</v>
      </c>
      <c r="K5" s="184" t="s">
        <v>287</v>
      </c>
      <c r="L5" s="184" t="s">
        <v>288</v>
      </c>
      <c r="M5" s="184"/>
      <c r="N5" s="209">
        <f>E7+I7</f>
        <v>282767.88641</v>
      </c>
      <c r="O5" s="209"/>
      <c r="P5" s="209"/>
      <c r="Q5" s="209"/>
      <c r="R5" s="209"/>
      <c r="S5" s="209"/>
    </row>
    <row r="6" ht="29.25" customHeight="1" spans="1:19">
      <c r="A6" s="190"/>
      <c r="B6" s="191"/>
      <c r="C6" s="190"/>
      <c r="D6" s="192">
        <v>1</v>
      </c>
      <c r="E6" s="193">
        <v>2</v>
      </c>
      <c r="F6" s="194">
        <v>3</v>
      </c>
      <c r="G6" s="195">
        <v>4</v>
      </c>
      <c r="H6" s="196">
        <v>5</v>
      </c>
      <c r="I6" s="196">
        <v>6</v>
      </c>
      <c r="J6" s="196">
        <v>7</v>
      </c>
      <c r="K6" s="196">
        <v>8</v>
      </c>
      <c r="L6" s="196">
        <v>9</v>
      </c>
      <c r="M6" s="183"/>
      <c r="N6" s="180">
        <f>J7+E7</f>
        <v>156565.68171</v>
      </c>
      <c r="O6" s="180"/>
      <c r="P6" s="180" t="e">
        <f>J7-#REF!</f>
        <v>#REF!</v>
      </c>
      <c r="Q6" s="180">
        <f>J7+E7</f>
        <v>156565.68171</v>
      </c>
      <c r="R6" s="180"/>
      <c r="S6" s="180"/>
    </row>
    <row r="7" s="174" customFormat="1" ht="21.75" customHeight="1" spans="1:19">
      <c r="A7" s="190" t="s">
        <v>289</v>
      </c>
      <c r="B7" s="191" t="s">
        <v>289</v>
      </c>
      <c r="C7" s="190">
        <v>1</v>
      </c>
      <c r="D7" s="197">
        <f>D8+D496+D509+D561+D645+D654+D697+D1073+D1141+D1160+D1185+D1284+D1302+D1315+D1327+D1348+D1641+D1653+D1684+D1685+D1691+D1324</f>
        <v>282767.88641</v>
      </c>
      <c r="E7" s="197">
        <f t="shared" ref="E7:L7" si="0">E8+E496+E509+E561+E645+E654+E697+E1073+E1141+E1160+E1185+E1284+E1302+E1315+E1327+E1348+E1641+E1653+E1684+E1685+E1691+E1324</f>
        <v>103913.58256</v>
      </c>
      <c r="F7" s="197">
        <f t="shared" si="0"/>
        <v>92789.382881</v>
      </c>
      <c r="G7" s="197">
        <f t="shared" si="0"/>
        <v>5355.079111</v>
      </c>
      <c r="H7" s="197">
        <f t="shared" si="0"/>
        <v>5769.120568</v>
      </c>
      <c r="I7" s="197">
        <f t="shared" si="0"/>
        <v>178854.30385</v>
      </c>
      <c r="J7" s="197">
        <f t="shared" si="0"/>
        <v>52652.09915</v>
      </c>
      <c r="K7" s="197">
        <f t="shared" si="0"/>
        <v>46175.6247</v>
      </c>
      <c r="L7" s="197">
        <f t="shared" si="0"/>
        <v>80026.58</v>
      </c>
      <c r="M7" s="183">
        <v>10</v>
      </c>
      <c r="N7" s="210"/>
      <c r="O7" s="210"/>
      <c r="P7" s="210"/>
      <c r="Q7" s="210">
        <f>J8+E8</f>
        <v>21327.263375</v>
      </c>
      <c r="R7" s="210"/>
      <c r="S7" s="210"/>
    </row>
    <row r="8" ht="21" customHeight="1" spans="1:14">
      <c r="A8" s="198" t="s">
        <v>290</v>
      </c>
      <c r="B8" s="199" t="s">
        <v>291</v>
      </c>
      <c r="C8" s="199"/>
      <c r="D8" s="200">
        <f>D9+D26+D37+D62+D73+D82+D96+D109+D118+D125+D132+D137+D142+D436+D440+D452+D460+D467+D472+D493+D145</f>
        <v>21530.951475</v>
      </c>
      <c r="E8" s="200">
        <f t="shared" ref="E8:L8" si="1">E9+E26+E37+E62+E73+E82+E96+E109+E118+E125+E132+E137+E142+E436+E440+E452+E460+E467+E472+E493+E145</f>
        <v>15849.248375</v>
      </c>
      <c r="F8" s="201">
        <f t="shared" si="1"/>
        <v>12108.177684</v>
      </c>
      <c r="G8" s="200">
        <f t="shared" si="1"/>
        <v>3099.244511</v>
      </c>
      <c r="H8" s="200">
        <f t="shared" si="1"/>
        <v>641.82618</v>
      </c>
      <c r="I8" s="200">
        <f t="shared" si="1"/>
        <v>5681.7031</v>
      </c>
      <c r="J8" s="200">
        <f t="shared" si="1"/>
        <v>5478.015</v>
      </c>
      <c r="K8" s="200">
        <f t="shared" si="1"/>
        <v>203.6881</v>
      </c>
      <c r="L8" s="200">
        <f t="shared" si="1"/>
        <v>0</v>
      </c>
      <c r="M8" s="211"/>
      <c r="N8" s="176">
        <f>J8+E8</f>
        <v>21327.263375</v>
      </c>
    </row>
    <row r="9" ht="21" customHeight="1" spans="1:14">
      <c r="A9" s="198" t="s">
        <v>292</v>
      </c>
      <c r="B9" s="199" t="s">
        <v>293</v>
      </c>
      <c r="C9" s="199"/>
      <c r="D9" s="200">
        <f t="shared" ref="D9:L9" si="2">SUM(D10,D12,D14,D16,D18,D20,D22,D24)</f>
        <v>1001.106168</v>
      </c>
      <c r="E9" s="200">
        <f t="shared" si="2"/>
        <v>414.899368</v>
      </c>
      <c r="F9" s="200">
        <f t="shared" si="2"/>
        <v>339.806568</v>
      </c>
      <c r="G9" s="200">
        <f t="shared" si="2"/>
        <v>45.792</v>
      </c>
      <c r="H9" s="200">
        <f t="shared" si="2"/>
        <v>29.3008</v>
      </c>
      <c r="I9" s="200">
        <f t="shared" si="2"/>
        <v>586.2068</v>
      </c>
      <c r="J9" s="200">
        <f t="shared" si="2"/>
        <v>551</v>
      </c>
      <c r="K9" s="200">
        <f t="shared" si="2"/>
        <v>35.2068</v>
      </c>
      <c r="L9" s="200">
        <f t="shared" si="2"/>
        <v>0</v>
      </c>
      <c r="M9" s="211"/>
      <c r="N9" s="176">
        <f t="shared" ref="N9:N72" si="3">J9+E9</f>
        <v>965.899368</v>
      </c>
    </row>
    <row r="10" ht="21" customHeight="1" spans="1:14">
      <c r="A10" s="198" t="s">
        <v>294</v>
      </c>
      <c r="B10" s="199" t="s">
        <v>295</v>
      </c>
      <c r="C10" s="199"/>
      <c r="D10" s="200">
        <f t="shared" ref="D10:L10" si="4">SUM(D11:D11)</f>
        <v>473.719368</v>
      </c>
      <c r="E10" s="200">
        <f t="shared" si="4"/>
        <v>414.899368</v>
      </c>
      <c r="F10" s="200">
        <f t="shared" si="4"/>
        <v>339.806568</v>
      </c>
      <c r="G10" s="200">
        <f t="shared" si="4"/>
        <v>45.792</v>
      </c>
      <c r="H10" s="200">
        <f t="shared" si="4"/>
        <v>29.3008</v>
      </c>
      <c r="I10" s="200">
        <f t="shared" si="4"/>
        <v>58.82</v>
      </c>
      <c r="J10" s="200">
        <f t="shared" si="4"/>
        <v>58.82</v>
      </c>
      <c r="K10" s="200">
        <f t="shared" si="4"/>
        <v>0</v>
      </c>
      <c r="L10" s="200">
        <f t="shared" si="4"/>
        <v>0</v>
      </c>
      <c r="M10" s="211"/>
      <c r="N10" s="176">
        <f t="shared" si="3"/>
        <v>473.719368</v>
      </c>
    </row>
    <row r="11" ht="53" customHeight="1" spans="1:14">
      <c r="A11" s="202"/>
      <c r="B11" s="203"/>
      <c r="C11" s="203" t="s">
        <v>296</v>
      </c>
      <c r="D11" s="200">
        <f t="shared" ref="D11:D15" si="5">E11+I11</f>
        <v>473.719368</v>
      </c>
      <c r="E11" s="204">
        <f t="shared" ref="E11:E15" si="6">SUM(F11:H11)</f>
        <v>414.899368</v>
      </c>
      <c r="F11" s="205">
        <v>339.806568</v>
      </c>
      <c r="G11" s="205">
        <v>45.792</v>
      </c>
      <c r="H11" s="205">
        <v>29.3008</v>
      </c>
      <c r="I11" s="204">
        <f t="shared" ref="I11:I15" si="7">SUM(J11:L11)</f>
        <v>58.82</v>
      </c>
      <c r="J11" s="212">
        <v>58.82</v>
      </c>
      <c r="K11" s="205"/>
      <c r="L11" s="205"/>
      <c r="M11" s="213" t="s">
        <v>297</v>
      </c>
      <c r="N11" s="176">
        <f t="shared" si="3"/>
        <v>473.719368</v>
      </c>
    </row>
    <row r="12" ht="21" customHeight="1" spans="1:14">
      <c r="A12" s="198" t="s">
        <v>298</v>
      </c>
      <c r="B12" s="199" t="s">
        <v>299</v>
      </c>
      <c r="C12" s="199"/>
      <c r="D12" s="200">
        <f t="shared" ref="D12:L12" si="8">D13</f>
        <v>85.6868</v>
      </c>
      <c r="E12" s="200">
        <f t="shared" si="8"/>
        <v>0</v>
      </c>
      <c r="F12" s="200">
        <f t="shared" si="8"/>
        <v>0</v>
      </c>
      <c r="G12" s="200">
        <f t="shared" si="8"/>
        <v>0</v>
      </c>
      <c r="H12" s="200">
        <f t="shared" si="8"/>
        <v>0</v>
      </c>
      <c r="I12" s="200">
        <f t="shared" si="8"/>
        <v>85.6868</v>
      </c>
      <c r="J12" s="200">
        <f t="shared" si="8"/>
        <v>56.58</v>
      </c>
      <c r="K12" s="200">
        <f t="shared" si="8"/>
        <v>29.1068</v>
      </c>
      <c r="L12" s="200">
        <f t="shared" si="8"/>
        <v>0</v>
      </c>
      <c r="M12" s="211"/>
      <c r="N12" s="176">
        <f t="shared" si="3"/>
        <v>56.58</v>
      </c>
    </row>
    <row r="13" ht="40" customHeight="1" spans="1:14">
      <c r="A13" s="202"/>
      <c r="B13" s="203"/>
      <c r="C13" s="203" t="s">
        <v>296</v>
      </c>
      <c r="D13" s="200">
        <f t="shared" si="5"/>
        <v>85.6868</v>
      </c>
      <c r="E13" s="204">
        <f t="shared" si="6"/>
        <v>0</v>
      </c>
      <c r="F13" s="205"/>
      <c r="G13" s="205"/>
      <c r="H13" s="205"/>
      <c r="I13" s="204">
        <f t="shared" si="7"/>
        <v>85.6868</v>
      </c>
      <c r="J13" s="212">
        <v>56.58</v>
      </c>
      <c r="K13" s="205">
        <v>29.1068</v>
      </c>
      <c r="L13" s="205"/>
      <c r="M13" s="213" t="s">
        <v>300</v>
      </c>
      <c r="N13" s="176">
        <f t="shared" si="3"/>
        <v>56.58</v>
      </c>
    </row>
    <row r="14" ht="22" customHeight="1" spans="1:14">
      <c r="A14" s="198" t="s">
        <v>301</v>
      </c>
      <c r="B14" s="199" t="s">
        <v>302</v>
      </c>
      <c r="C14" s="199"/>
      <c r="D14" s="200">
        <f t="shared" ref="D14:L14" si="9">SUM(D15)</f>
        <v>33.6</v>
      </c>
      <c r="E14" s="200">
        <f t="shared" si="9"/>
        <v>0</v>
      </c>
      <c r="F14" s="200">
        <f t="shared" si="9"/>
        <v>0</v>
      </c>
      <c r="G14" s="200">
        <f t="shared" si="9"/>
        <v>0</v>
      </c>
      <c r="H14" s="200">
        <f t="shared" si="9"/>
        <v>0</v>
      </c>
      <c r="I14" s="200">
        <f t="shared" si="9"/>
        <v>33.6</v>
      </c>
      <c r="J14" s="200">
        <f t="shared" si="9"/>
        <v>33.6</v>
      </c>
      <c r="K14" s="200">
        <f t="shared" si="9"/>
        <v>0</v>
      </c>
      <c r="L14" s="200">
        <f t="shared" si="9"/>
        <v>0</v>
      </c>
      <c r="M14" s="211"/>
      <c r="N14" s="176">
        <f t="shared" si="3"/>
        <v>33.6</v>
      </c>
    </row>
    <row r="15" ht="30" customHeight="1" spans="1:14">
      <c r="A15" s="202"/>
      <c r="B15" s="203"/>
      <c r="C15" s="203" t="s">
        <v>296</v>
      </c>
      <c r="D15" s="200">
        <f t="shared" si="5"/>
        <v>33.6</v>
      </c>
      <c r="E15" s="204">
        <f t="shared" si="6"/>
        <v>0</v>
      </c>
      <c r="F15" s="205"/>
      <c r="G15" s="205"/>
      <c r="H15" s="205"/>
      <c r="I15" s="204">
        <f t="shared" si="7"/>
        <v>33.6</v>
      </c>
      <c r="J15" s="212">
        <v>33.6</v>
      </c>
      <c r="K15" s="205"/>
      <c r="L15" s="205"/>
      <c r="M15" s="213" t="s">
        <v>303</v>
      </c>
      <c r="N15" s="176">
        <f t="shared" si="3"/>
        <v>33.6</v>
      </c>
    </row>
    <row r="16" ht="22" customHeight="1" spans="1:14">
      <c r="A16" s="198" t="s">
        <v>304</v>
      </c>
      <c r="B16" s="199" t="s">
        <v>305</v>
      </c>
      <c r="C16" s="199"/>
      <c r="D16" s="200">
        <f t="shared" ref="D16:L16" si="10">D17</f>
        <v>16.8</v>
      </c>
      <c r="E16" s="200">
        <f t="shared" si="10"/>
        <v>0</v>
      </c>
      <c r="F16" s="200">
        <f t="shared" si="10"/>
        <v>0</v>
      </c>
      <c r="G16" s="200">
        <f t="shared" si="10"/>
        <v>0</v>
      </c>
      <c r="H16" s="200">
        <f t="shared" si="10"/>
        <v>0</v>
      </c>
      <c r="I16" s="200">
        <f t="shared" si="10"/>
        <v>16.8</v>
      </c>
      <c r="J16" s="200">
        <f t="shared" si="10"/>
        <v>16.8</v>
      </c>
      <c r="K16" s="200">
        <f t="shared" si="10"/>
        <v>0</v>
      </c>
      <c r="L16" s="200">
        <f t="shared" si="10"/>
        <v>0</v>
      </c>
      <c r="M16" s="211"/>
      <c r="N16" s="176">
        <f t="shared" si="3"/>
        <v>16.8</v>
      </c>
    </row>
    <row r="17" ht="27" customHeight="1" spans="1:14">
      <c r="A17" s="202"/>
      <c r="B17" s="203"/>
      <c r="C17" s="203" t="s">
        <v>296</v>
      </c>
      <c r="D17" s="200">
        <f t="shared" ref="D17:D21" si="11">E17+I17</f>
        <v>16.8</v>
      </c>
      <c r="E17" s="204">
        <f t="shared" ref="E17:E21" si="12">SUM(F17:H17)</f>
        <v>0</v>
      </c>
      <c r="F17" s="205"/>
      <c r="G17" s="205"/>
      <c r="H17" s="205"/>
      <c r="I17" s="204">
        <f t="shared" ref="I17:I21" si="13">SUM(J17:L17)</f>
        <v>16.8</v>
      </c>
      <c r="J17" s="212">
        <v>16.8</v>
      </c>
      <c r="K17" s="205"/>
      <c r="L17" s="205"/>
      <c r="M17" s="213" t="s">
        <v>306</v>
      </c>
      <c r="N17" s="176">
        <f t="shared" si="3"/>
        <v>16.8</v>
      </c>
    </row>
    <row r="18" ht="26.25" customHeight="1" spans="1:14">
      <c r="A18" s="198" t="s">
        <v>307</v>
      </c>
      <c r="B18" s="199" t="s">
        <v>308</v>
      </c>
      <c r="C18" s="199"/>
      <c r="D18" s="200">
        <f t="shared" ref="D18:L18" si="14">D19</f>
        <v>103.12</v>
      </c>
      <c r="E18" s="200">
        <f t="shared" si="14"/>
        <v>0</v>
      </c>
      <c r="F18" s="200">
        <f t="shared" si="14"/>
        <v>0</v>
      </c>
      <c r="G18" s="200">
        <f t="shared" si="14"/>
        <v>0</v>
      </c>
      <c r="H18" s="200">
        <f t="shared" si="14"/>
        <v>0</v>
      </c>
      <c r="I18" s="200">
        <f t="shared" si="14"/>
        <v>103.12</v>
      </c>
      <c r="J18" s="200">
        <f t="shared" si="14"/>
        <v>103.12</v>
      </c>
      <c r="K18" s="200">
        <f t="shared" si="14"/>
        <v>0</v>
      </c>
      <c r="L18" s="200">
        <f t="shared" si="14"/>
        <v>0</v>
      </c>
      <c r="M18" s="211"/>
      <c r="N18" s="176">
        <f t="shared" si="3"/>
        <v>103.12</v>
      </c>
    </row>
    <row r="19" ht="57" customHeight="1" spans="1:14">
      <c r="A19" s="202"/>
      <c r="B19" s="203"/>
      <c r="C19" s="203" t="s">
        <v>296</v>
      </c>
      <c r="D19" s="200">
        <f t="shared" si="11"/>
        <v>103.12</v>
      </c>
      <c r="E19" s="204">
        <f t="shared" si="12"/>
        <v>0</v>
      </c>
      <c r="F19" s="205"/>
      <c r="G19" s="205"/>
      <c r="H19" s="205"/>
      <c r="I19" s="204">
        <f t="shared" si="13"/>
        <v>103.12</v>
      </c>
      <c r="J19" s="212">
        <v>103.12</v>
      </c>
      <c r="K19" s="205"/>
      <c r="L19" s="205"/>
      <c r="M19" s="213" t="s">
        <v>309</v>
      </c>
      <c r="N19" s="176">
        <f t="shared" si="3"/>
        <v>103.12</v>
      </c>
    </row>
    <row r="20" ht="24" customHeight="1" spans="1:14">
      <c r="A20" s="198" t="s">
        <v>310</v>
      </c>
      <c r="B20" s="199" t="s">
        <v>311</v>
      </c>
      <c r="C20" s="199"/>
      <c r="D20" s="200">
        <f t="shared" ref="D20:L20" si="15">D21</f>
        <v>75.68</v>
      </c>
      <c r="E20" s="200">
        <f t="shared" si="15"/>
        <v>0</v>
      </c>
      <c r="F20" s="200">
        <f t="shared" si="15"/>
        <v>0</v>
      </c>
      <c r="G20" s="200">
        <f t="shared" si="15"/>
        <v>0</v>
      </c>
      <c r="H20" s="200">
        <f t="shared" si="15"/>
        <v>0</v>
      </c>
      <c r="I20" s="200">
        <f t="shared" si="15"/>
        <v>75.68</v>
      </c>
      <c r="J20" s="200">
        <f t="shared" si="15"/>
        <v>75.68</v>
      </c>
      <c r="K20" s="200">
        <f t="shared" si="15"/>
        <v>0</v>
      </c>
      <c r="L20" s="200">
        <f t="shared" si="15"/>
        <v>0</v>
      </c>
      <c r="M20" s="211"/>
      <c r="N20" s="176">
        <f t="shared" si="3"/>
        <v>75.68</v>
      </c>
    </row>
    <row r="21" ht="57" customHeight="1" spans="1:14">
      <c r="A21" s="202"/>
      <c r="B21" s="203"/>
      <c r="C21" s="203" t="s">
        <v>296</v>
      </c>
      <c r="D21" s="200">
        <f t="shared" si="11"/>
        <v>75.68</v>
      </c>
      <c r="E21" s="204">
        <f t="shared" si="12"/>
        <v>0</v>
      </c>
      <c r="F21" s="205"/>
      <c r="G21" s="205"/>
      <c r="H21" s="205"/>
      <c r="I21" s="204">
        <f t="shared" si="13"/>
        <v>75.68</v>
      </c>
      <c r="J21" s="212">
        <v>75.68</v>
      </c>
      <c r="K21" s="205"/>
      <c r="L21" s="205"/>
      <c r="M21" s="213" t="s">
        <v>312</v>
      </c>
      <c r="N21" s="176">
        <f t="shared" si="3"/>
        <v>75.68</v>
      </c>
    </row>
    <row r="22" ht="23" customHeight="1" spans="1:14">
      <c r="A22" s="198" t="s">
        <v>313</v>
      </c>
      <c r="B22" s="199" t="s">
        <v>314</v>
      </c>
      <c r="C22" s="199"/>
      <c r="D22" s="200">
        <f t="shared" ref="D22:L22" si="16">D23</f>
        <v>2.4</v>
      </c>
      <c r="E22" s="200">
        <f t="shared" si="16"/>
        <v>0</v>
      </c>
      <c r="F22" s="200">
        <f t="shared" si="16"/>
        <v>0</v>
      </c>
      <c r="G22" s="200">
        <f t="shared" si="16"/>
        <v>0</v>
      </c>
      <c r="H22" s="200">
        <f t="shared" si="16"/>
        <v>0</v>
      </c>
      <c r="I22" s="200">
        <f t="shared" si="16"/>
        <v>2.4</v>
      </c>
      <c r="J22" s="200">
        <f t="shared" si="16"/>
        <v>2.4</v>
      </c>
      <c r="K22" s="200">
        <f t="shared" si="16"/>
        <v>0</v>
      </c>
      <c r="L22" s="200">
        <f t="shared" si="16"/>
        <v>0</v>
      </c>
      <c r="M22" s="211"/>
      <c r="N22" s="176">
        <f t="shared" si="3"/>
        <v>2.4</v>
      </c>
    </row>
    <row r="23" ht="21" customHeight="1" spans="1:14">
      <c r="A23" s="202"/>
      <c r="B23" s="203"/>
      <c r="C23" s="203" t="s">
        <v>296</v>
      </c>
      <c r="D23" s="200">
        <f t="shared" ref="D23:D28" si="17">E23+I23</f>
        <v>2.4</v>
      </c>
      <c r="E23" s="204">
        <f t="shared" ref="E23:E25" si="18">SUM(F23:H23)</f>
        <v>0</v>
      </c>
      <c r="F23" s="205"/>
      <c r="G23" s="205"/>
      <c r="H23" s="205"/>
      <c r="I23" s="204">
        <f t="shared" ref="I23:I25" si="19">SUM(J23:L23)</f>
        <v>2.4</v>
      </c>
      <c r="J23" s="212">
        <v>2.4</v>
      </c>
      <c r="K23" s="205"/>
      <c r="L23" s="205"/>
      <c r="M23" s="213" t="s">
        <v>315</v>
      </c>
      <c r="N23" s="176">
        <f t="shared" si="3"/>
        <v>2.4</v>
      </c>
    </row>
    <row r="24" ht="21" customHeight="1" spans="1:14">
      <c r="A24" s="198" t="s">
        <v>316</v>
      </c>
      <c r="B24" s="199" t="s">
        <v>317</v>
      </c>
      <c r="C24" s="199"/>
      <c r="D24" s="200">
        <f t="shared" ref="D24:L24" si="20">D25</f>
        <v>210.1</v>
      </c>
      <c r="E24" s="200">
        <f t="shared" si="20"/>
        <v>0</v>
      </c>
      <c r="F24" s="200">
        <f t="shared" si="20"/>
        <v>0</v>
      </c>
      <c r="G24" s="200">
        <f t="shared" si="20"/>
        <v>0</v>
      </c>
      <c r="H24" s="200">
        <f t="shared" si="20"/>
        <v>0</v>
      </c>
      <c r="I24" s="200">
        <f t="shared" si="20"/>
        <v>210.1</v>
      </c>
      <c r="J24" s="200">
        <f t="shared" si="20"/>
        <v>204</v>
      </c>
      <c r="K24" s="200">
        <f t="shared" si="20"/>
        <v>6.1</v>
      </c>
      <c r="L24" s="200">
        <f t="shared" si="20"/>
        <v>0</v>
      </c>
      <c r="M24" s="211"/>
      <c r="N24" s="176">
        <f t="shared" si="3"/>
        <v>204</v>
      </c>
    </row>
    <row r="25" ht="46.05" customHeight="1" spans="1:14">
      <c r="A25" s="202"/>
      <c r="B25" s="203"/>
      <c r="C25" s="203" t="s">
        <v>296</v>
      </c>
      <c r="D25" s="200">
        <f t="shared" si="17"/>
        <v>210.1</v>
      </c>
      <c r="E25" s="204">
        <f t="shared" si="18"/>
        <v>0</v>
      </c>
      <c r="F25" s="205"/>
      <c r="G25" s="205"/>
      <c r="H25" s="205"/>
      <c r="I25" s="204">
        <f t="shared" si="19"/>
        <v>210.1</v>
      </c>
      <c r="J25" s="212">
        <v>204</v>
      </c>
      <c r="K25" s="205">
        <v>6.1</v>
      </c>
      <c r="L25" s="205"/>
      <c r="M25" s="213" t="s">
        <v>318</v>
      </c>
      <c r="N25" s="176">
        <f t="shared" si="3"/>
        <v>204</v>
      </c>
    </row>
    <row r="26" ht="22" customHeight="1" spans="1:14">
      <c r="A26" s="198" t="s">
        <v>319</v>
      </c>
      <c r="B26" s="199" t="s">
        <v>320</v>
      </c>
      <c r="C26" s="199"/>
      <c r="D26" s="200">
        <f>D27+D29+D31+D33+D35</f>
        <v>471.657775</v>
      </c>
      <c r="E26" s="200">
        <f t="shared" ref="E26:L26" si="21">E27+E29+E31+E33+E35</f>
        <v>348.477775</v>
      </c>
      <c r="F26" s="200">
        <f t="shared" si="21"/>
        <v>293.534095</v>
      </c>
      <c r="G26" s="200">
        <f t="shared" si="21"/>
        <v>40.374</v>
      </c>
      <c r="H26" s="200">
        <f t="shared" si="21"/>
        <v>14.56968</v>
      </c>
      <c r="I26" s="200">
        <f t="shared" si="21"/>
        <v>123.18</v>
      </c>
      <c r="J26" s="200">
        <f t="shared" si="21"/>
        <v>123.18</v>
      </c>
      <c r="K26" s="200">
        <f t="shared" si="21"/>
        <v>0</v>
      </c>
      <c r="L26" s="200">
        <f t="shared" si="21"/>
        <v>0</v>
      </c>
      <c r="M26" s="211"/>
      <c r="N26" s="176">
        <f t="shared" si="3"/>
        <v>471.657775</v>
      </c>
    </row>
    <row r="27" ht="22" customHeight="1" spans="1:14">
      <c r="A27" s="198" t="s">
        <v>321</v>
      </c>
      <c r="B27" s="199" t="s">
        <v>295</v>
      </c>
      <c r="C27" s="199"/>
      <c r="D27" s="200">
        <f t="shared" ref="D27:L27" si="22">D28</f>
        <v>356.737775</v>
      </c>
      <c r="E27" s="200">
        <f t="shared" si="22"/>
        <v>348.477775</v>
      </c>
      <c r="F27" s="200">
        <f t="shared" si="22"/>
        <v>293.534095</v>
      </c>
      <c r="G27" s="200">
        <f t="shared" si="22"/>
        <v>40.374</v>
      </c>
      <c r="H27" s="200">
        <f t="shared" si="22"/>
        <v>14.56968</v>
      </c>
      <c r="I27" s="200">
        <f t="shared" si="22"/>
        <v>8.26</v>
      </c>
      <c r="J27" s="200">
        <f t="shared" si="22"/>
        <v>8.26</v>
      </c>
      <c r="K27" s="200">
        <f t="shared" si="22"/>
        <v>0</v>
      </c>
      <c r="L27" s="200">
        <f t="shared" si="22"/>
        <v>0</v>
      </c>
      <c r="M27" s="211"/>
      <c r="N27" s="176">
        <f t="shared" si="3"/>
        <v>356.737775</v>
      </c>
    </row>
    <row r="28" ht="28" customHeight="1" spans="1:14">
      <c r="A28" s="202"/>
      <c r="B28" s="203"/>
      <c r="C28" s="203" t="s">
        <v>322</v>
      </c>
      <c r="D28" s="200">
        <f t="shared" si="17"/>
        <v>356.737775</v>
      </c>
      <c r="E28" s="204">
        <f t="shared" ref="E28:E32" si="23">SUM(F28:H28)</f>
        <v>348.477775</v>
      </c>
      <c r="F28" s="205">
        <f>251.774095+41.76</f>
        <v>293.534095</v>
      </c>
      <c r="G28" s="205">
        <v>40.374</v>
      </c>
      <c r="H28" s="205">
        <v>14.56968</v>
      </c>
      <c r="I28" s="204">
        <f t="shared" ref="I28:I32" si="24">SUM(J28:L28)</f>
        <v>8.26</v>
      </c>
      <c r="J28" s="212">
        <v>8.26</v>
      </c>
      <c r="K28" s="205"/>
      <c r="L28" s="205"/>
      <c r="M28" s="213" t="s">
        <v>323</v>
      </c>
      <c r="N28" s="176">
        <f t="shared" si="3"/>
        <v>356.737775</v>
      </c>
    </row>
    <row r="29" ht="24" customHeight="1" spans="1:14">
      <c r="A29" s="198" t="s">
        <v>324</v>
      </c>
      <c r="B29" s="199" t="s">
        <v>325</v>
      </c>
      <c r="C29" s="199"/>
      <c r="D29" s="200">
        <f t="shared" ref="D29:L29" si="25">D30</f>
        <v>10.05</v>
      </c>
      <c r="E29" s="200">
        <f t="shared" si="25"/>
        <v>0</v>
      </c>
      <c r="F29" s="200">
        <f t="shared" si="25"/>
        <v>0</v>
      </c>
      <c r="G29" s="200">
        <f t="shared" si="25"/>
        <v>0</v>
      </c>
      <c r="H29" s="200">
        <f t="shared" si="25"/>
        <v>0</v>
      </c>
      <c r="I29" s="200">
        <f t="shared" si="25"/>
        <v>10.05</v>
      </c>
      <c r="J29" s="200">
        <f t="shared" si="25"/>
        <v>10.05</v>
      </c>
      <c r="K29" s="200">
        <f t="shared" si="25"/>
        <v>0</v>
      </c>
      <c r="L29" s="200">
        <f t="shared" si="25"/>
        <v>0</v>
      </c>
      <c r="M29" s="211"/>
      <c r="N29" s="176">
        <f t="shared" si="3"/>
        <v>10.05</v>
      </c>
    </row>
    <row r="30" ht="24" customHeight="1" spans="1:14">
      <c r="A30" s="202"/>
      <c r="B30" s="203"/>
      <c r="C30" s="203" t="s">
        <v>322</v>
      </c>
      <c r="D30" s="200">
        <f t="shared" ref="D30:D34" si="26">E30+I30</f>
        <v>10.05</v>
      </c>
      <c r="E30" s="204">
        <f t="shared" si="23"/>
        <v>0</v>
      </c>
      <c r="F30" s="205"/>
      <c r="G30" s="205"/>
      <c r="H30" s="205"/>
      <c r="I30" s="204">
        <f t="shared" si="24"/>
        <v>10.05</v>
      </c>
      <c r="J30" s="212">
        <v>10.05</v>
      </c>
      <c r="K30" s="205"/>
      <c r="L30" s="205"/>
      <c r="M30" s="213" t="s">
        <v>326</v>
      </c>
      <c r="N30" s="176">
        <f t="shared" si="3"/>
        <v>10.05</v>
      </c>
    </row>
    <row r="31" ht="24" customHeight="1" spans="1:14">
      <c r="A31" s="198" t="s">
        <v>327</v>
      </c>
      <c r="B31" s="199" t="s">
        <v>328</v>
      </c>
      <c r="C31" s="199"/>
      <c r="D31" s="200">
        <f t="shared" ref="D31:L31" si="27">D32</f>
        <v>35.2</v>
      </c>
      <c r="E31" s="200">
        <f t="shared" si="27"/>
        <v>0</v>
      </c>
      <c r="F31" s="200">
        <f t="shared" si="27"/>
        <v>0</v>
      </c>
      <c r="G31" s="200">
        <f t="shared" si="27"/>
        <v>0</v>
      </c>
      <c r="H31" s="200">
        <f t="shared" si="27"/>
        <v>0</v>
      </c>
      <c r="I31" s="200">
        <f t="shared" si="27"/>
        <v>35.2</v>
      </c>
      <c r="J31" s="200">
        <f t="shared" si="27"/>
        <v>35.2</v>
      </c>
      <c r="K31" s="200">
        <f t="shared" si="27"/>
        <v>0</v>
      </c>
      <c r="L31" s="200">
        <f t="shared" si="27"/>
        <v>0</v>
      </c>
      <c r="M31" s="211"/>
      <c r="N31" s="176">
        <f t="shared" si="3"/>
        <v>35.2</v>
      </c>
    </row>
    <row r="32" ht="24" customHeight="1" spans="1:14">
      <c r="A32" s="202"/>
      <c r="B32" s="203"/>
      <c r="C32" s="203" t="s">
        <v>322</v>
      </c>
      <c r="D32" s="200">
        <f t="shared" si="26"/>
        <v>35.2</v>
      </c>
      <c r="E32" s="204">
        <f t="shared" si="23"/>
        <v>0</v>
      </c>
      <c r="F32" s="205"/>
      <c r="G32" s="205"/>
      <c r="H32" s="205"/>
      <c r="I32" s="204">
        <f t="shared" si="24"/>
        <v>35.2</v>
      </c>
      <c r="J32" s="212">
        <v>35.2</v>
      </c>
      <c r="K32" s="205"/>
      <c r="L32" s="205"/>
      <c r="M32" s="213" t="s">
        <v>329</v>
      </c>
      <c r="N32" s="176">
        <f t="shared" si="3"/>
        <v>35.2</v>
      </c>
    </row>
    <row r="33" ht="24" customHeight="1" spans="1:14">
      <c r="A33" s="198" t="s">
        <v>330</v>
      </c>
      <c r="B33" s="199" t="s">
        <v>331</v>
      </c>
      <c r="C33" s="199"/>
      <c r="D33" s="200">
        <f t="shared" ref="D33:L33" si="28">D34</f>
        <v>49.67</v>
      </c>
      <c r="E33" s="200">
        <f t="shared" si="28"/>
        <v>0</v>
      </c>
      <c r="F33" s="200">
        <f t="shared" si="28"/>
        <v>0</v>
      </c>
      <c r="G33" s="200">
        <f t="shared" si="28"/>
        <v>0</v>
      </c>
      <c r="H33" s="200">
        <f t="shared" si="28"/>
        <v>0</v>
      </c>
      <c r="I33" s="200">
        <f t="shared" si="28"/>
        <v>49.67</v>
      </c>
      <c r="J33" s="200">
        <f t="shared" si="28"/>
        <v>49.67</v>
      </c>
      <c r="K33" s="200">
        <f t="shared" si="28"/>
        <v>0</v>
      </c>
      <c r="L33" s="200">
        <f t="shared" si="28"/>
        <v>0</v>
      </c>
      <c r="M33" s="211"/>
      <c r="N33" s="176">
        <f t="shared" si="3"/>
        <v>49.67</v>
      </c>
    </row>
    <row r="34" ht="24" customHeight="1" spans="1:14">
      <c r="A34" s="202"/>
      <c r="B34" s="203"/>
      <c r="C34" s="203" t="s">
        <v>322</v>
      </c>
      <c r="D34" s="200">
        <f t="shared" si="26"/>
        <v>49.67</v>
      </c>
      <c r="E34" s="204">
        <f t="shared" ref="E34:E36" si="29">SUM(F34:H34)</f>
        <v>0</v>
      </c>
      <c r="F34" s="205"/>
      <c r="G34" s="205"/>
      <c r="H34" s="205"/>
      <c r="I34" s="204">
        <f t="shared" ref="I34:I36" si="30">SUM(J34:L34)</f>
        <v>49.67</v>
      </c>
      <c r="J34" s="212">
        <v>49.67</v>
      </c>
      <c r="K34" s="205"/>
      <c r="L34" s="205"/>
      <c r="M34" s="213" t="s">
        <v>332</v>
      </c>
      <c r="N34" s="176">
        <f t="shared" si="3"/>
        <v>49.67</v>
      </c>
    </row>
    <row r="35" ht="24" customHeight="1" spans="1:14">
      <c r="A35" s="198" t="s">
        <v>333</v>
      </c>
      <c r="B35" s="199" t="s">
        <v>334</v>
      </c>
      <c r="C35" s="199"/>
      <c r="D35" s="200">
        <f t="shared" ref="D35:L35" si="31">D36</f>
        <v>20</v>
      </c>
      <c r="E35" s="200">
        <f t="shared" si="31"/>
        <v>0</v>
      </c>
      <c r="F35" s="200">
        <f t="shared" si="31"/>
        <v>0</v>
      </c>
      <c r="G35" s="200">
        <f t="shared" si="31"/>
        <v>0</v>
      </c>
      <c r="H35" s="200">
        <f t="shared" si="31"/>
        <v>0</v>
      </c>
      <c r="I35" s="200">
        <f t="shared" si="31"/>
        <v>20</v>
      </c>
      <c r="J35" s="200">
        <f t="shared" si="31"/>
        <v>20</v>
      </c>
      <c r="K35" s="200">
        <f t="shared" si="31"/>
        <v>0</v>
      </c>
      <c r="L35" s="200">
        <f t="shared" si="31"/>
        <v>0</v>
      </c>
      <c r="M35" s="211"/>
      <c r="N35" s="176">
        <f t="shared" si="3"/>
        <v>20</v>
      </c>
    </row>
    <row r="36" ht="24" customHeight="1" spans="1:14">
      <c r="A36" s="202"/>
      <c r="B36" s="203"/>
      <c r="C36" s="203" t="s">
        <v>322</v>
      </c>
      <c r="D36" s="200">
        <f t="shared" ref="D36:D50" si="32">E36+I36</f>
        <v>20</v>
      </c>
      <c r="E36" s="204">
        <f t="shared" si="29"/>
        <v>0</v>
      </c>
      <c r="F36" s="205"/>
      <c r="G36" s="205"/>
      <c r="H36" s="205"/>
      <c r="I36" s="204">
        <f t="shared" si="30"/>
        <v>20</v>
      </c>
      <c r="J36" s="212">
        <v>20</v>
      </c>
      <c r="K36" s="205"/>
      <c r="L36" s="205"/>
      <c r="M36" s="213" t="s">
        <v>335</v>
      </c>
      <c r="N36" s="176">
        <f t="shared" si="3"/>
        <v>20</v>
      </c>
    </row>
    <row r="37" ht="26.25" customHeight="1" spans="1:14">
      <c r="A37" s="198" t="s">
        <v>336</v>
      </c>
      <c r="B37" s="199" t="s">
        <v>337</v>
      </c>
      <c r="C37" s="199"/>
      <c r="D37" s="200">
        <f>D38+D51+D53+D55+D57+D59</f>
        <v>9332.443044</v>
      </c>
      <c r="E37" s="200">
        <f t="shared" ref="E37:L37" si="33">E38+E51+E53+E55+E57+E59</f>
        <v>7720.070044</v>
      </c>
      <c r="F37" s="200">
        <f t="shared" si="33"/>
        <v>6466.568944</v>
      </c>
      <c r="G37" s="200">
        <f t="shared" si="33"/>
        <v>930.474</v>
      </c>
      <c r="H37" s="200">
        <f t="shared" si="33"/>
        <v>323.0271</v>
      </c>
      <c r="I37" s="200">
        <f t="shared" si="33"/>
        <v>1612.373</v>
      </c>
      <c r="J37" s="200">
        <f t="shared" si="33"/>
        <v>1612.373</v>
      </c>
      <c r="K37" s="200">
        <f t="shared" si="33"/>
        <v>0</v>
      </c>
      <c r="L37" s="200">
        <f t="shared" si="33"/>
        <v>0</v>
      </c>
      <c r="M37" s="211"/>
      <c r="N37" s="176">
        <f t="shared" si="3"/>
        <v>9332.443044</v>
      </c>
    </row>
    <row r="38" ht="24" customHeight="1" spans="1:14">
      <c r="A38" s="198" t="s">
        <v>338</v>
      </c>
      <c r="B38" s="199" t="s">
        <v>295</v>
      </c>
      <c r="C38" s="199"/>
      <c r="D38" s="200">
        <f t="shared" ref="D38:L38" si="34">SUM(D39:D50)</f>
        <v>8574.619585</v>
      </c>
      <c r="E38" s="200">
        <f t="shared" si="34"/>
        <v>7363.311585</v>
      </c>
      <c r="F38" s="200">
        <f t="shared" si="34"/>
        <v>6149.404485</v>
      </c>
      <c r="G38" s="200">
        <f t="shared" si="34"/>
        <v>893.88</v>
      </c>
      <c r="H38" s="200">
        <f t="shared" si="34"/>
        <v>320.0271</v>
      </c>
      <c r="I38" s="200">
        <f t="shared" si="34"/>
        <v>1211.308</v>
      </c>
      <c r="J38" s="200">
        <f t="shared" si="34"/>
        <v>1211.308</v>
      </c>
      <c r="K38" s="200">
        <f t="shared" si="34"/>
        <v>0</v>
      </c>
      <c r="L38" s="200">
        <f t="shared" si="34"/>
        <v>0</v>
      </c>
      <c r="M38" s="211"/>
      <c r="N38" s="176">
        <f t="shared" si="3"/>
        <v>8574.619585</v>
      </c>
    </row>
    <row r="39" ht="92" customHeight="1" spans="1:14">
      <c r="A39" s="202"/>
      <c r="B39" s="203"/>
      <c r="C39" s="203" t="s">
        <v>339</v>
      </c>
      <c r="D39" s="200">
        <f t="shared" si="32"/>
        <v>511.883339</v>
      </c>
      <c r="E39" s="204">
        <f t="shared" ref="E39:E50" si="35">SUM(F39:H39)</f>
        <v>338.083339</v>
      </c>
      <c r="F39" s="205">
        <v>289.569679</v>
      </c>
      <c r="G39" s="205">
        <v>35.094</v>
      </c>
      <c r="H39" s="205">
        <v>13.41966</v>
      </c>
      <c r="I39" s="204">
        <f t="shared" ref="I39:I50" si="36">SUM(J39:L39)</f>
        <v>173.8</v>
      </c>
      <c r="J39" s="212">
        <v>173.8</v>
      </c>
      <c r="K39" s="205"/>
      <c r="L39" s="205"/>
      <c r="M39" s="213" t="s">
        <v>340</v>
      </c>
      <c r="N39" s="176">
        <f t="shared" si="3"/>
        <v>511.883339</v>
      </c>
    </row>
    <row r="40" ht="94" customHeight="1" spans="1:14">
      <c r="A40" s="202"/>
      <c r="B40" s="203"/>
      <c r="C40" s="203" t="s">
        <v>341</v>
      </c>
      <c r="D40" s="200">
        <f t="shared" si="32"/>
        <v>71.198994</v>
      </c>
      <c r="E40" s="204">
        <f t="shared" si="35"/>
        <v>62.218994</v>
      </c>
      <c r="F40" s="205">
        <v>50.822994</v>
      </c>
      <c r="G40" s="205">
        <v>6.29</v>
      </c>
      <c r="H40" s="205">
        <v>5.106</v>
      </c>
      <c r="I40" s="204">
        <f t="shared" si="36"/>
        <v>8.98</v>
      </c>
      <c r="J40" s="212">
        <v>8.98</v>
      </c>
      <c r="K40" s="205"/>
      <c r="L40" s="205"/>
      <c r="M40" s="213" t="s">
        <v>342</v>
      </c>
      <c r="N40" s="176">
        <f t="shared" si="3"/>
        <v>71.198994</v>
      </c>
    </row>
    <row r="41" ht="64" customHeight="1" spans="1:14">
      <c r="A41" s="202"/>
      <c r="B41" s="203"/>
      <c r="C41" s="203" t="s">
        <v>343</v>
      </c>
      <c r="D41" s="200">
        <f t="shared" si="32"/>
        <v>180.659606</v>
      </c>
      <c r="E41" s="204">
        <f t="shared" si="35"/>
        <v>164.079606</v>
      </c>
      <c r="F41" s="205">
        <v>144.272806</v>
      </c>
      <c r="G41" s="205">
        <v>15.72</v>
      </c>
      <c r="H41" s="205">
        <v>4.0868</v>
      </c>
      <c r="I41" s="204">
        <f t="shared" si="36"/>
        <v>16.58</v>
      </c>
      <c r="J41" s="212">
        <v>16.58</v>
      </c>
      <c r="K41" s="205"/>
      <c r="L41" s="205"/>
      <c r="M41" s="213" t="s">
        <v>344</v>
      </c>
      <c r="N41" s="176">
        <f t="shared" si="3"/>
        <v>180.659606</v>
      </c>
    </row>
    <row r="42" ht="42" customHeight="1" spans="1:14">
      <c r="A42" s="202"/>
      <c r="B42" s="203"/>
      <c r="C42" s="203" t="s">
        <v>345</v>
      </c>
      <c r="D42" s="200">
        <f t="shared" si="32"/>
        <v>63.337031</v>
      </c>
      <c r="E42" s="204">
        <f t="shared" si="35"/>
        <v>57.907031</v>
      </c>
      <c r="F42" s="205">
        <v>50.765031</v>
      </c>
      <c r="G42" s="205">
        <v>6.53</v>
      </c>
      <c r="H42" s="205">
        <v>0.612</v>
      </c>
      <c r="I42" s="204">
        <f t="shared" si="36"/>
        <v>5.43</v>
      </c>
      <c r="J42" s="212">
        <v>5.43</v>
      </c>
      <c r="K42" s="205"/>
      <c r="L42" s="205"/>
      <c r="M42" s="213" t="s">
        <v>346</v>
      </c>
      <c r="N42" s="176">
        <f t="shared" si="3"/>
        <v>63.337031</v>
      </c>
    </row>
    <row r="43" ht="30" customHeight="1" spans="1:14">
      <c r="A43" s="202"/>
      <c r="B43" s="203"/>
      <c r="C43" s="203" t="s">
        <v>347</v>
      </c>
      <c r="D43" s="200">
        <f t="shared" si="32"/>
        <v>64.912193</v>
      </c>
      <c r="E43" s="204">
        <f t="shared" si="35"/>
        <v>60.232193</v>
      </c>
      <c r="F43" s="205">
        <v>48.692193</v>
      </c>
      <c r="G43" s="205">
        <v>6.53</v>
      </c>
      <c r="H43" s="205">
        <v>5.01</v>
      </c>
      <c r="I43" s="204">
        <f t="shared" si="36"/>
        <v>4.68</v>
      </c>
      <c r="J43" s="212">
        <v>4.68</v>
      </c>
      <c r="K43" s="205"/>
      <c r="L43" s="205"/>
      <c r="M43" s="213" t="s">
        <v>348</v>
      </c>
      <c r="N43" s="176">
        <f t="shared" si="3"/>
        <v>64.912193</v>
      </c>
    </row>
    <row r="44" ht="33" customHeight="1" spans="1:14">
      <c r="A44" s="202"/>
      <c r="B44" s="203"/>
      <c r="C44" s="203" t="s">
        <v>349</v>
      </c>
      <c r="D44" s="200">
        <f t="shared" si="32"/>
        <v>336.942649</v>
      </c>
      <c r="E44" s="204">
        <f t="shared" si="35"/>
        <v>336.942649</v>
      </c>
      <c r="F44" s="205">
        <v>151.802709</v>
      </c>
      <c r="G44" s="205">
        <v>167.644</v>
      </c>
      <c r="H44" s="205">
        <v>17.49594</v>
      </c>
      <c r="I44" s="204">
        <f t="shared" si="36"/>
        <v>0</v>
      </c>
      <c r="J44" s="212"/>
      <c r="K44" s="205"/>
      <c r="L44" s="205"/>
      <c r="M44" s="213"/>
      <c r="N44" s="176">
        <f t="shared" si="3"/>
        <v>336.942649</v>
      </c>
    </row>
    <row r="45" ht="146" customHeight="1" spans="1:14">
      <c r="A45" s="202"/>
      <c r="B45" s="203"/>
      <c r="C45" s="203" t="s">
        <v>350</v>
      </c>
      <c r="D45" s="200">
        <f t="shared" si="32"/>
        <v>258.038676</v>
      </c>
      <c r="E45" s="204">
        <f t="shared" si="35"/>
        <v>116.438676</v>
      </c>
      <c r="F45" s="205">
        <v>105.378676</v>
      </c>
      <c r="G45" s="205">
        <v>10.448</v>
      </c>
      <c r="H45" s="205">
        <v>0.612</v>
      </c>
      <c r="I45" s="204">
        <f t="shared" si="36"/>
        <v>141.6</v>
      </c>
      <c r="J45" s="212">
        <v>141.6</v>
      </c>
      <c r="K45" s="205"/>
      <c r="L45" s="205"/>
      <c r="M45" s="213" t="s">
        <v>351</v>
      </c>
      <c r="N45" s="176">
        <f t="shared" si="3"/>
        <v>258.038676</v>
      </c>
    </row>
    <row r="46" ht="29" customHeight="1" spans="1:14">
      <c r="A46" s="202"/>
      <c r="B46" s="203"/>
      <c r="C46" s="203" t="s">
        <v>352</v>
      </c>
      <c r="D46" s="200">
        <f t="shared" si="32"/>
        <v>44.777405</v>
      </c>
      <c r="E46" s="204">
        <f t="shared" si="35"/>
        <v>41.877405</v>
      </c>
      <c r="F46" s="205">
        <v>35.653405</v>
      </c>
      <c r="G46" s="205">
        <v>5.024</v>
      </c>
      <c r="H46" s="205">
        <v>1.2</v>
      </c>
      <c r="I46" s="204">
        <f t="shared" si="36"/>
        <v>2.9</v>
      </c>
      <c r="J46" s="212">
        <v>2.9</v>
      </c>
      <c r="K46" s="205"/>
      <c r="L46" s="205"/>
      <c r="M46" s="213" t="s">
        <v>353</v>
      </c>
      <c r="N46" s="176">
        <f t="shared" si="3"/>
        <v>44.777405</v>
      </c>
    </row>
    <row r="47" ht="20" customHeight="1" spans="1:14">
      <c r="A47" s="202"/>
      <c r="B47" s="203"/>
      <c r="C47" s="203" t="s">
        <v>354</v>
      </c>
      <c r="D47" s="200">
        <f t="shared" si="32"/>
        <v>93.177728</v>
      </c>
      <c r="E47" s="204">
        <f t="shared" si="35"/>
        <v>93.177728</v>
      </c>
      <c r="F47" s="205">
        <v>84.021728</v>
      </c>
      <c r="G47" s="205">
        <v>6.654</v>
      </c>
      <c r="H47" s="205">
        <v>2.502</v>
      </c>
      <c r="I47" s="204">
        <f t="shared" si="36"/>
        <v>0</v>
      </c>
      <c r="J47" s="212"/>
      <c r="K47" s="205"/>
      <c r="L47" s="205"/>
      <c r="M47" s="213"/>
      <c r="N47" s="176">
        <f t="shared" si="3"/>
        <v>93.177728</v>
      </c>
    </row>
    <row r="48" ht="55.05" customHeight="1" spans="1:14">
      <c r="A48" s="202"/>
      <c r="B48" s="203"/>
      <c r="C48" s="203" t="s">
        <v>355</v>
      </c>
      <c r="D48" s="200">
        <f t="shared" si="32"/>
        <v>73.85734</v>
      </c>
      <c r="E48" s="204">
        <f t="shared" si="35"/>
        <v>61.05734</v>
      </c>
      <c r="F48" s="205">
        <v>59.04534</v>
      </c>
      <c r="G48" s="205">
        <v>2</v>
      </c>
      <c r="H48" s="205">
        <v>0.012</v>
      </c>
      <c r="I48" s="204">
        <f t="shared" si="36"/>
        <v>12.8</v>
      </c>
      <c r="J48" s="212">
        <v>12.8</v>
      </c>
      <c r="K48" s="205"/>
      <c r="L48" s="205"/>
      <c r="M48" s="213" t="s">
        <v>356</v>
      </c>
      <c r="N48" s="176">
        <f t="shared" si="3"/>
        <v>73.85734</v>
      </c>
    </row>
    <row r="49" ht="24" customHeight="1" spans="1:14">
      <c r="A49" s="202"/>
      <c r="B49" s="203"/>
      <c r="C49" s="203" t="s">
        <v>357</v>
      </c>
      <c r="D49" s="200">
        <f t="shared" si="32"/>
        <v>234.19558</v>
      </c>
      <c r="E49" s="204">
        <f t="shared" si="35"/>
        <v>234.19558</v>
      </c>
      <c r="F49" s="205">
        <v>197.75158</v>
      </c>
      <c r="G49" s="205">
        <v>26.22</v>
      </c>
      <c r="H49" s="205">
        <v>10.224</v>
      </c>
      <c r="I49" s="204">
        <f t="shared" si="36"/>
        <v>0</v>
      </c>
      <c r="J49" s="212"/>
      <c r="K49" s="205"/>
      <c r="L49" s="205"/>
      <c r="M49" s="213"/>
      <c r="N49" s="176">
        <f t="shared" si="3"/>
        <v>234.19558</v>
      </c>
    </row>
    <row r="50" ht="76.05" customHeight="1" spans="1:14">
      <c r="A50" s="202"/>
      <c r="B50" s="203"/>
      <c r="C50" s="203" t="s">
        <v>358</v>
      </c>
      <c r="D50" s="200">
        <f t="shared" si="32"/>
        <v>6641.639044</v>
      </c>
      <c r="E50" s="204">
        <f t="shared" si="35"/>
        <v>5797.101044</v>
      </c>
      <c r="F50" s="200">
        <f>4931.478344+0.15</f>
        <v>4931.628344</v>
      </c>
      <c r="G50" s="200">
        <v>605.726</v>
      </c>
      <c r="H50" s="200">
        <f>249.5667+10.18</f>
        <v>259.7467</v>
      </c>
      <c r="I50" s="204">
        <f t="shared" si="36"/>
        <v>844.538</v>
      </c>
      <c r="J50" s="200">
        <f>841.038+3+0.5</f>
        <v>844.538</v>
      </c>
      <c r="K50" s="200">
        <v>0</v>
      </c>
      <c r="L50" s="200">
        <v>0</v>
      </c>
      <c r="M50" s="213" t="s">
        <v>359</v>
      </c>
      <c r="N50" s="176">
        <f t="shared" si="3"/>
        <v>6641.639044</v>
      </c>
    </row>
    <row r="51" ht="26.25" customHeight="1" spans="1:14">
      <c r="A51" s="198" t="s">
        <v>360</v>
      </c>
      <c r="B51" s="199" t="s">
        <v>325</v>
      </c>
      <c r="C51" s="199"/>
      <c r="D51" s="200">
        <f t="shared" ref="D51:L51" si="37">D52</f>
        <v>254.77</v>
      </c>
      <c r="E51" s="200">
        <f t="shared" si="37"/>
        <v>87.84</v>
      </c>
      <c r="F51" s="200">
        <f t="shared" si="37"/>
        <v>87.84</v>
      </c>
      <c r="G51" s="200">
        <f t="shared" si="37"/>
        <v>0</v>
      </c>
      <c r="H51" s="200">
        <f t="shared" si="37"/>
        <v>0</v>
      </c>
      <c r="I51" s="200">
        <f t="shared" si="37"/>
        <v>166.93</v>
      </c>
      <c r="J51" s="200">
        <f t="shared" si="37"/>
        <v>166.93</v>
      </c>
      <c r="K51" s="200">
        <f t="shared" si="37"/>
        <v>0</v>
      </c>
      <c r="L51" s="200">
        <f t="shared" si="37"/>
        <v>0</v>
      </c>
      <c r="M51" s="211"/>
      <c r="N51" s="176">
        <f t="shared" si="3"/>
        <v>254.77</v>
      </c>
    </row>
    <row r="52" ht="160" customHeight="1" spans="1:14">
      <c r="A52" s="202"/>
      <c r="B52" s="203"/>
      <c r="C52" s="203" t="s">
        <v>349</v>
      </c>
      <c r="D52" s="200">
        <f t="shared" ref="D52:D56" si="38">E52+I52</f>
        <v>254.77</v>
      </c>
      <c r="E52" s="204">
        <f t="shared" ref="E52:E56" si="39">SUM(F52:H52)</f>
        <v>87.84</v>
      </c>
      <c r="F52" s="205">
        <v>87.84</v>
      </c>
      <c r="G52" s="205"/>
      <c r="H52" s="205"/>
      <c r="I52" s="204">
        <f t="shared" ref="I52:I56" si="40">SUM(J52:L52)</f>
        <v>166.93</v>
      </c>
      <c r="J52" s="212">
        <v>166.93</v>
      </c>
      <c r="K52" s="205"/>
      <c r="L52" s="205"/>
      <c r="M52" s="213" t="s">
        <v>361</v>
      </c>
      <c r="N52" s="176">
        <f t="shared" si="3"/>
        <v>254.77</v>
      </c>
    </row>
    <row r="53" ht="26.25" customHeight="1" spans="1:14">
      <c r="A53" s="198" t="s">
        <v>362</v>
      </c>
      <c r="B53" s="199" t="s">
        <v>363</v>
      </c>
      <c r="C53" s="199"/>
      <c r="D53" s="200">
        <f t="shared" ref="D53:L53" si="41">D54</f>
        <v>2.24</v>
      </c>
      <c r="E53" s="200">
        <f t="shared" si="41"/>
        <v>0</v>
      </c>
      <c r="F53" s="200">
        <f t="shared" si="41"/>
        <v>0</v>
      </c>
      <c r="G53" s="200">
        <f t="shared" si="41"/>
        <v>0</v>
      </c>
      <c r="H53" s="200">
        <f t="shared" si="41"/>
        <v>0</v>
      </c>
      <c r="I53" s="200">
        <f t="shared" si="41"/>
        <v>2.24</v>
      </c>
      <c r="J53" s="200">
        <f t="shared" si="41"/>
        <v>2.24</v>
      </c>
      <c r="K53" s="200">
        <f t="shared" si="41"/>
        <v>0</v>
      </c>
      <c r="L53" s="200">
        <f t="shared" si="41"/>
        <v>0</v>
      </c>
      <c r="M53" s="211"/>
      <c r="N53" s="176">
        <f t="shared" si="3"/>
        <v>2.24</v>
      </c>
    </row>
    <row r="54" ht="30" customHeight="1" spans="1:14">
      <c r="A54" s="202"/>
      <c r="B54" s="203"/>
      <c r="C54" s="203" t="s">
        <v>347</v>
      </c>
      <c r="D54" s="200">
        <f t="shared" si="38"/>
        <v>2.24</v>
      </c>
      <c r="E54" s="204">
        <f t="shared" si="39"/>
        <v>0</v>
      </c>
      <c r="F54" s="205"/>
      <c r="G54" s="205"/>
      <c r="H54" s="205"/>
      <c r="I54" s="204">
        <f t="shared" si="40"/>
        <v>2.24</v>
      </c>
      <c r="J54" s="212">
        <v>2.24</v>
      </c>
      <c r="K54" s="205"/>
      <c r="L54" s="205"/>
      <c r="M54" s="213" t="s">
        <v>364</v>
      </c>
      <c r="N54" s="176">
        <f t="shared" si="3"/>
        <v>2.24</v>
      </c>
    </row>
    <row r="55" ht="21" customHeight="1" spans="1:14">
      <c r="A55" s="198" t="s">
        <v>365</v>
      </c>
      <c r="B55" s="199" t="s">
        <v>366</v>
      </c>
      <c r="C55" s="199"/>
      <c r="D55" s="200">
        <f t="shared" ref="D55:L55" si="42">D56</f>
        <v>24.737</v>
      </c>
      <c r="E55" s="200">
        <f t="shared" si="42"/>
        <v>0</v>
      </c>
      <c r="F55" s="200">
        <f t="shared" si="42"/>
        <v>0</v>
      </c>
      <c r="G55" s="200">
        <f t="shared" si="42"/>
        <v>0</v>
      </c>
      <c r="H55" s="200">
        <f t="shared" si="42"/>
        <v>0</v>
      </c>
      <c r="I55" s="200">
        <f t="shared" si="42"/>
        <v>24.737</v>
      </c>
      <c r="J55" s="200">
        <f t="shared" si="42"/>
        <v>24.737</v>
      </c>
      <c r="K55" s="200">
        <f t="shared" si="42"/>
        <v>0</v>
      </c>
      <c r="L55" s="200">
        <f t="shared" si="42"/>
        <v>0</v>
      </c>
      <c r="M55" s="211"/>
      <c r="N55" s="176">
        <f t="shared" si="3"/>
        <v>24.737</v>
      </c>
    </row>
    <row r="56" ht="63" customHeight="1" spans="1:14">
      <c r="A56" s="202"/>
      <c r="B56" s="203"/>
      <c r="C56" s="203" t="s">
        <v>354</v>
      </c>
      <c r="D56" s="200">
        <f t="shared" si="38"/>
        <v>24.737</v>
      </c>
      <c r="E56" s="204">
        <f t="shared" si="39"/>
        <v>0</v>
      </c>
      <c r="F56" s="205"/>
      <c r="G56" s="205"/>
      <c r="H56" s="205"/>
      <c r="I56" s="204">
        <f t="shared" si="40"/>
        <v>24.737</v>
      </c>
      <c r="J56" s="212">
        <v>24.737</v>
      </c>
      <c r="K56" s="205"/>
      <c r="L56" s="205"/>
      <c r="M56" s="213" t="s">
        <v>367</v>
      </c>
      <c r="N56" s="176">
        <f t="shared" si="3"/>
        <v>24.737</v>
      </c>
    </row>
    <row r="57" ht="23" customHeight="1" spans="1:14">
      <c r="A57" s="198" t="s">
        <v>368</v>
      </c>
      <c r="B57" s="199" t="s">
        <v>369</v>
      </c>
      <c r="C57" s="199"/>
      <c r="D57" s="200">
        <f t="shared" ref="D57:L57" si="43">SUM(D58:D58)</f>
        <v>102.769867</v>
      </c>
      <c r="E57" s="200">
        <f t="shared" si="43"/>
        <v>99.491867</v>
      </c>
      <c r="F57" s="200">
        <f t="shared" si="43"/>
        <v>86.621867</v>
      </c>
      <c r="G57" s="200">
        <f t="shared" si="43"/>
        <v>9.87</v>
      </c>
      <c r="H57" s="200">
        <f t="shared" si="43"/>
        <v>3</v>
      </c>
      <c r="I57" s="200">
        <f t="shared" si="43"/>
        <v>3.278</v>
      </c>
      <c r="J57" s="200">
        <f t="shared" si="43"/>
        <v>3.278</v>
      </c>
      <c r="K57" s="200">
        <f t="shared" si="43"/>
        <v>0</v>
      </c>
      <c r="L57" s="200">
        <f t="shared" si="43"/>
        <v>0</v>
      </c>
      <c r="M57" s="211"/>
      <c r="N57" s="176">
        <f t="shared" si="3"/>
        <v>102.769867</v>
      </c>
    </row>
    <row r="58" ht="33" customHeight="1" spans="1:14">
      <c r="A58" s="202"/>
      <c r="B58" s="203"/>
      <c r="C58" s="203" t="s">
        <v>370</v>
      </c>
      <c r="D58" s="200">
        <f t="shared" ref="D58:D61" si="44">E58+I58</f>
        <v>102.769867</v>
      </c>
      <c r="E58" s="204">
        <f t="shared" ref="E58:E61" si="45">SUM(F58:H58)</f>
        <v>99.491867</v>
      </c>
      <c r="F58" s="205">
        <v>86.621867</v>
      </c>
      <c r="G58" s="205">
        <v>9.87</v>
      </c>
      <c r="H58" s="205">
        <v>3</v>
      </c>
      <c r="I58" s="204">
        <f t="shared" ref="I58:I61" si="46">SUM(J58:L58)</f>
        <v>3.278</v>
      </c>
      <c r="J58" s="212">
        <v>3.278</v>
      </c>
      <c r="K58" s="205"/>
      <c r="L58" s="205"/>
      <c r="M58" s="213" t="s">
        <v>371</v>
      </c>
      <c r="N58" s="176">
        <f t="shared" si="3"/>
        <v>102.769867</v>
      </c>
    </row>
    <row r="59" ht="26" customHeight="1" spans="1:14">
      <c r="A59" s="198" t="s">
        <v>372</v>
      </c>
      <c r="B59" s="199" t="s">
        <v>373</v>
      </c>
      <c r="C59" s="199"/>
      <c r="D59" s="200">
        <f t="shared" ref="D59:L59" si="47">SUM(D60:D61)</f>
        <v>373.306592</v>
      </c>
      <c r="E59" s="200">
        <f t="shared" si="47"/>
        <v>169.426592</v>
      </c>
      <c r="F59" s="200">
        <f t="shared" si="47"/>
        <v>142.702592</v>
      </c>
      <c r="G59" s="200">
        <f t="shared" si="47"/>
        <v>26.724</v>
      </c>
      <c r="H59" s="200">
        <f t="shared" si="47"/>
        <v>0</v>
      </c>
      <c r="I59" s="200">
        <f t="shared" si="47"/>
        <v>203.88</v>
      </c>
      <c r="J59" s="200">
        <f t="shared" si="47"/>
        <v>203.88</v>
      </c>
      <c r="K59" s="200">
        <f t="shared" si="47"/>
        <v>0</v>
      </c>
      <c r="L59" s="200">
        <f t="shared" si="47"/>
        <v>0</v>
      </c>
      <c r="M59" s="211"/>
      <c r="N59" s="176">
        <f t="shared" si="3"/>
        <v>373.306592</v>
      </c>
    </row>
    <row r="60" ht="27" customHeight="1" spans="1:14">
      <c r="A60" s="202"/>
      <c r="B60" s="203"/>
      <c r="C60" s="203" t="s">
        <v>343</v>
      </c>
      <c r="D60" s="200">
        <f t="shared" si="44"/>
        <v>2.88</v>
      </c>
      <c r="E60" s="204">
        <f t="shared" si="45"/>
        <v>0</v>
      </c>
      <c r="F60" s="205"/>
      <c r="G60" s="205"/>
      <c r="H60" s="205"/>
      <c r="I60" s="204">
        <f t="shared" si="46"/>
        <v>2.88</v>
      </c>
      <c r="J60" s="212">
        <v>2.88</v>
      </c>
      <c r="K60" s="205"/>
      <c r="L60" s="205"/>
      <c r="M60" s="213" t="s">
        <v>374</v>
      </c>
      <c r="N60" s="176">
        <f t="shared" si="3"/>
        <v>2.88</v>
      </c>
    </row>
    <row r="61" ht="192" customHeight="1" spans="1:255">
      <c r="A61" s="202"/>
      <c r="B61" s="203"/>
      <c r="C61" s="203" t="s">
        <v>375</v>
      </c>
      <c r="D61" s="200">
        <f t="shared" si="44"/>
        <v>370.426592</v>
      </c>
      <c r="E61" s="204">
        <f t="shared" si="45"/>
        <v>169.426592</v>
      </c>
      <c r="F61" s="205">
        <v>142.702592</v>
      </c>
      <c r="G61" s="205">
        <v>26.724</v>
      </c>
      <c r="H61" s="205"/>
      <c r="I61" s="204">
        <f t="shared" si="46"/>
        <v>201</v>
      </c>
      <c r="J61" s="212">
        <v>201</v>
      </c>
      <c r="K61" s="205"/>
      <c r="L61" s="205"/>
      <c r="M61" s="213" t="s">
        <v>376</v>
      </c>
      <c r="N61" s="176">
        <f t="shared" si="3"/>
        <v>370.426592</v>
      </c>
      <c r="IU61" s="176">
        <f>SUM(A61:IT61)</f>
        <v>1481.706368</v>
      </c>
    </row>
    <row r="62" ht="23" customHeight="1" spans="1:14">
      <c r="A62" s="198" t="s">
        <v>377</v>
      </c>
      <c r="B62" s="199" t="s">
        <v>378</v>
      </c>
      <c r="C62" s="199"/>
      <c r="D62" s="200">
        <f t="shared" ref="D62:L62" si="48">D63+D65+D67+D69+D71</f>
        <v>552.471803</v>
      </c>
      <c r="E62" s="200">
        <f t="shared" si="48"/>
        <v>495.761803</v>
      </c>
      <c r="F62" s="200">
        <f t="shared" si="48"/>
        <v>388.311883</v>
      </c>
      <c r="G62" s="200">
        <f t="shared" si="48"/>
        <v>34.704</v>
      </c>
      <c r="H62" s="200">
        <f t="shared" si="48"/>
        <v>72.74592</v>
      </c>
      <c r="I62" s="200">
        <f t="shared" si="48"/>
        <v>56.71</v>
      </c>
      <c r="J62" s="200">
        <f t="shared" si="48"/>
        <v>56.71</v>
      </c>
      <c r="K62" s="200">
        <f t="shared" si="48"/>
        <v>0</v>
      </c>
      <c r="L62" s="200">
        <f t="shared" si="48"/>
        <v>0</v>
      </c>
      <c r="M62" s="211"/>
      <c r="N62" s="176">
        <f t="shared" si="3"/>
        <v>552.471803</v>
      </c>
    </row>
    <row r="63" ht="23" customHeight="1" spans="1:14">
      <c r="A63" s="198" t="s">
        <v>379</v>
      </c>
      <c r="B63" s="199" t="s">
        <v>295</v>
      </c>
      <c r="C63" s="199"/>
      <c r="D63" s="200">
        <f t="shared" ref="D63:L63" si="49">SUM(D64:D64)</f>
        <v>448.240603</v>
      </c>
      <c r="E63" s="200">
        <f t="shared" si="49"/>
        <v>448.240603</v>
      </c>
      <c r="F63" s="200">
        <f t="shared" si="49"/>
        <v>340.790683</v>
      </c>
      <c r="G63" s="200">
        <f t="shared" si="49"/>
        <v>34.704</v>
      </c>
      <c r="H63" s="200">
        <f t="shared" si="49"/>
        <v>72.74592</v>
      </c>
      <c r="I63" s="200">
        <f t="shared" si="49"/>
        <v>0</v>
      </c>
      <c r="J63" s="200">
        <f t="shared" si="49"/>
        <v>0</v>
      </c>
      <c r="K63" s="200">
        <f t="shared" si="49"/>
        <v>0</v>
      </c>
      <c r="L63" s="200">
        <f t="shared" si="49"/>
        <v>0</v>
      </c>
      <c r="M63" s="211"/>
      <c r="N63" s="176">
        <f t="shared" si="3"/>
        <v>448.240603</v>
      </c>
    </row>
    <row r="64" ht="23" customHeight="1" spans="1:14">
      <c r="A64" s="202"/>
      <c r="B64" s="203"/>
      <c r="C64" s="203" t="s">
        <v>380</v>
      </c>
      <c r="D64" s="200">
        <f t="shared" ref="D64:D68" si="50">E64+I64</f>
        <v>448.240603</v>
      </c>
      <c r="E64" s="204">
        <f t="shared" ref="E64:E68" si="51">SUM(F64:H64)</f>
        <v>448.240603</v>
      </c>
      <c r="F64" s="205">
        <v>340.790683</v>
      </c>
      <c r="G64" s="205">
        <v>34.704</v>
      </c>
      <c r="H64" s="205">
        <v>72.74592</v>
      </c>
      <c r="I64" s="204">
        <f t="shared" ref="I64:I68" si="52">SUM(J64:L64)</f>
        <v>0</v>
      </c>
      <c r="J64" s="212"/>
      <c r="K64" s="205"/>
      <c r="L64" s="205"/>
      <c r="M64" s="213"/>
      <c r="N64" s="176">
        <f t="shared" si="3"/>
        <v>448.240603</v>
      </c>
    </row>
    <row r="65" ht="23" customHeight="1" spans="1:14">
      <c r="A65" s="198" t="s">
        <v>381</v>
      </c>
      <c r="B65" s="199" t="s">
        <v>382</v>
      </c>
      <c r="C65" s="199"/>
      <c r="D65" s="200">
        <f t="shared" ref="D65:L65" si="53">D66</f>
        <v>35.93</v>
      </c>
      <c r="E65" s="200">
        <f t="shared" si="53"/>
        <v>0</v>
      </c>
      <c r="F65" s="200">
        <f t="shared" si="53"/>
        <v>0</v>
      </c>
      <c r="G65" s="200">
        <f t="shared" si="53"/>
        <v>0</v>
      </c>
      <c r="H65" s="200">
        <f t="shared" si="53"/>
        <v>0</v>
      </c>
      <c r="I65" s="200">
        <f t="shared" si="53"/>
        <v>35.93</v>
      </c>
      <c r="J65" s="200">
        <f t="shared" si="53"/>
        <v>35.93</v>
      </c>
      <c r="K65" s="200">
        <f t="shared" si="53"/>
        <v>0</v>
      </c>
      <c r="L65" s="200">
        <f t="shared" si="53"/>
        <v>0</v>
      </c>
      <c r="M65" s="211"/>
      <c r="N65" s="176">
        <f t="shared" si="3"/>
        <v>35.93</v>
      </c>
    </row>
    <row r="66" ht="29" customHeight="1" spans="1:14">
      <c r="A66" s="202"/>
      <c r="B66" s="203"/>
      <c r="C66" s="203" t="s">
        <v>380</v>
      </c>
      <c r="D66" s="200">
        <f t="shared" si="50"/>
        <v>35.93</v>
      </c>
      <c r="E66" s="204">
        <f t="shared" si="51"/>
        <v>0</v>
      </c>
      <c r="F66" s="205"/>
      <c r="G66" s="205"/>
      <c r="H66" s="205"/>
      <c r="I66" s="204">
        <f t="shared" si="52"/>
        <v>35.93</v>
      </c>
      <c r="J66" s="212">
        <v>35.93</v>
      </c>
      <c r="K66" s="205"/>
      <c r="L66" s="205"/>
      <c r="M66" s="213" t="s">
        <v>383</v>
      </c>
      <c r="N66" s="176">
        <f t="shared" si="3"/>
        <v>35.93</v>
      </c>
    </row>
    <row r="67" ht="21" customHeight="1" spans="1:14">
      <c r="A67" s="198" t="s">
        <v>384</v>
      </c>
      <c r="B67" s="199" t="s">
        <v>385</v>
      </c>
      <c r="C67" s="199"/>
      <c r="D67" s="200">
        <f t="shared" ref="D67:L67" si="54">D68</f>
        <v>4.16</v>
      </c>
      <c r="E67" s="200">
        <f t="shared" si="54"/>
        <v>0</v>
      </c>
      <c r="F67" s="200">
        <f t="shared" si="54"/>
        <v>0</v>
      </c>
      <c r="G67" s="200">
        <f t="shared" si="54"/>
        <v>0</v>
      </c>
      <c r="H67" s="200">
        <f t="shared" si="54"/>
        <v>0</v>
      </c>
      <c r="I67" s="200">
        <f t="shared" si="54"/>
        <v>4.16</v>
      </c>
      <c r="J67" s="200">
        <f t="shared" si="54"/>
        <v>4.16</v>
      </c>
      <c r="K67" s="200">
        <f t="shared" si="54"/>
        <v>0</v>
      </c>
      <c r="L67" s="200">
        <f t="shared" si="54"/>
        <v>0</v>
      </c>
      <c r="M67" s="211"/>
      <c r="N67" s="176">
        <f t="shared" si="3"/>
        <v>4.16</v>
      </c>
    </row>
    <row r="68" ht="30" customHeight="1" spans="1:14">
      <c r="A68" s="202"/>
      <c r="B68" s="203"/>
      <c r="C68" s="203" t="s">
        <v>380</v>
      </c>
      <c r="D68" s="200">
        <f t="shared" si="50"/>
        <v>4.16</v>
      </c>
      <c r="E68" s="204">
        <f t="shared" si="51"/>
        <v>0</v>
      </c>
      <c r="F68" s="205"/>
      <c r="G68" s="205"/>
      <c r="H68" s="205"/>
      <c r="I68" s="204">
        <f t="shared" si="52"/>
        <v>4.16</v>
      </c>
      <c r="J68" s="212">
        <v>4.16</v>
      </c>
      <c r="K68" s="205"/>
      <c r="L68" s="205"/>
      <c r="M68" s="213" t="s">
        <v>386</v>
      </c>
      <c r="N68" s="176">
        <f t="shared" si="3"/>
        <v>4.16</v>
      </c>
    </row>
    <row r="69" ht="22" customHeight="1" spans="1:14">
      <c r="A69" s="198" t="s">
        <v>387</v>
      </c>
      <c r="B69" s="199" t="s">
        <v>369</v>
      </c>
      <c r="C69" s="199"/>
      <c r="D69" s="200">
        <f t="shared" ref="D69:L69" si="55">D70</f>
        <v>47.5212</v>
      </c>
      <c r="E69" s="200">
        <f t="shared" si="55"/>
        <v>47.5212</v>
      </c>
      <c r="F69" s="200">
        <f t="shared" si="55"/>
        <v>47.5212</v>
      </c>
      <c r="G69" s="200">
        <f t="shared" si="55"/>
        <v>0</v>
      </c>
      <c r="H69" s="200">
        <f t="shared" si="55"/>
        <v>0</v>
      </c>
      <c r="I69" s="200">
        <f t="shared" si="55"/>
        <v>0</v>
      </c>
      <c r="J69" s="200">
        <f t="shared" si="55"/>
        <v>0</v>
      </c>
      <c r="K69" s="200">
        <f t="shared" si="55"/>
        <v>0</v>
      </c>
      <c r="L69" s="200">
        <f t="shared" si="55"/>
        <v>0</v>
      </c>
      <c r="M69" s="211"/>
      <c r="N69" s="176">
        <f t="shared" si="3"/>
        <v>47.5212</v>
      </c>
    </row>
    <row r="70" ht="22" customHeight="1" spans="1:14">
      <c r="A70" s="202"/>
      <c r="B70" s="203"/>
      <c r="C70" s="203" t="s">
        <v>380</v>
      </c>
      <c r="D70" s="200">
        <f t="shared" ref="D70:D75" si="56">E70+I70</f>
        <v>47.5212</v>
      </c>
      <c r="E70" s="204">
        <f t="shared" ref="E70:E75" si="57">SUM(F70:H70)</f>
        <v>47.5212</v>
      </c>
      <c r="F70" s="205">
        <v>47.5212</v>
      </c>
      <c r="G70" s="205"/>
      <c r="H70" s="205"/>
      <c r="I70" s="204">
        <f t="shared" ref="I70:I75" si="58">SUM(J70:L70)</f>
        <v>0</v>
      </c>
      <c r="J70" s="212"/>
      <c r="K70" s="205"/>
      <c r="L70" s="205"/>
      <c r="M70" s="213"/>
      <c r="N70" s="176">
        <f t="shared" si="3"/>
        <v>47.5212</v>
      </c>
    </row>
    <row r="71" ht="27" customHeight="1" spans="1:14">
      <c r="A71" s="198" t="s">
        <v>388</v>
      </c>
      <c r="B71" s="199" t="s">
        <v>389</v>
      </c>
      <c r="C71" s="199"/>
      <c r="D71" s="200">
        <f t="shared" ref="D71:L71" si="59">D72</f>
        <v>16.62</v>
      </c>
      <c r="E71" s="200">
        <f t="shared" si="59"/>
        <v>0</v>
      </c>
      <c r="F71" s="200">
        <f t="shared" si="59"/>
        <v>0</v>
      </c>
      <c r="G71" s="200">
        <f t="shared" si="59"/>
        <v>0</v>
      </c>
      <c r="H71" s="200">
        <f t="shared" si="59"/>
        <v>0</v>
      </c>
      <c r="I71" s="200">
        <f t="shared" si="59"/>
        <v>16.62</v>
      </c>
      <c r="J71" s="200">
        <f t="shared" si="59"/>
        <v>16.62</v>
      </c>
      <c r="K71" s="200">
        <f t="shared" si="59"/>
        <v>0</v>
      </c>
      <c r="L71" s="200">
        <f t="shared" si="59"/>
        <v>0</v>
      </c>
      <c r="M71" s="211"/>
      <c r="N71" s="176">
        <f t="shared" si="3"/>
        <v>16.62</v>
      </c>
    </row>
    <row r="72" ht="42" customHeight="1" spans="1:14">
      <c r="A72" s="202"/>
      <c r="B72" s="203"/>
      <c r="C72" s="203" t="s">
        <v>380</v>
      </c>
      <c r="D72" s="200">
        <f t="shared" si="56"/>
        <v>16.62</v>
      </c>
      <c r="E72" s="204">
        <f t="shared" si="57"/>
        <v>0</v>
      </c>
      <c r="F72" s="205"/>
      <c r="G72" s="205"/>
      <c r="H72" s="205"/>
      <c r="I72" s="204">
        <f t="shared" si="58"/>
        <v>16.62</v>
      </c>
      <c r="J72" s="212">
        <v>16.62</v>
      </c>
      <c r="K72" s="205"/>
      <c r="L72" s="205"/>
      <c r="M72" s="213" t="s">
        <v>390</v>
      </c>
      <c r="N72" s="176">
        <f t="shared" si="3"/>
        <v>16.62</v>
      </c>
    </row>
    <row r="73" ht="21" customHeight="1" spans="1:14">
      <c r="A73" s="198" t="s">
        <v>391</v>
      </c>
      <c r="B73" s="199" t="s">
        <v>392</v>
      </c>
      <c r="C73" s="199"/>
      <c r="D73" s="200">
        <f t="shared" ref="D73:L73" si="60">D74+D76+D78+D80</f>
        <v>305.894241</v>
      </c>
      <c r="E73" s="200">
        <f t="shared" si="60"/>
        <v>170.670941</v>
      </c>
      <c r="F73" s="200">
        <f t="shared" si="60"/>
        <v>147.452941</v>
      </c>
      <c r="G73" s="200">
        <f t="shared" si="60"/>
        <v>17.784</v>
      </c>
      <c r="H73" s="200">
        <f t="shared" si="60"/>
        <v>5.434</v>
      </c>
      <c r="I73" s="200">
        <f t="shared" si="60"/>
        <v>135.2233</v>
      </c>
      <c r="J73" s="200">
        <f t="shared" si="60"/>
        <v>128.452</v>
      </c>
      <c r="K73" s="200">
        <f t="shared" si="60"/>
        <v>6.7713</v>
      </c>
      <c r="L73" s="200">
        <f t="shared" si="60"/>
        <v>0</v>
      </c>
      <c r="M73" s="211"/>
      <c r="N73" s="176">
        <f t="shared" ref="N73:N136" si="61">J73+E73</f>
        <v>299.122941</v>
      </c>
    </row>
    <row r="74" ht="21" customHeight="1" spans="1:14">
      <c r="A74" s="198" t="s">
        <v>393</v>
      </c>
      <c r="B74" s="199" t="s">
        <v>295</v>
      </c>
      <c r="C74" s="199"/>
      <c r="D74" s="200">
        <f t="shared" ref="D74:L74" si="62">D75</f>
        <v>177.442241</v>
      </c>
      <c r="E74" s="200">
        <f t="shared" si="62"/>
        <v>170.670941</v>
      </c>
      <c r="F74" s="200">
        <f t="shared" si="62"/>
        <v>147.452941</v>
      </c>
      <c r="G74" s="200">
        <f t="shared" si="62"/>
        <v>17.784</v>
      </c>
      <c r="H74" s="200">
        <f t="shared" si="62"/>
        <v>5.434</v>
      </c>
      <c r="I74" s="200">
        <f t="shared" si="62"/>
        <v>6.7713</v>
      </c>
      <c r="J74" s="200">
        <f t="shared" si="62"/>
        <v>0</v>
      </c>
      <c r="K74" s="200">
        <f t="shared" si="62"/>
        <v>6.7713</v>
      </c>
      <c r="L74" s="200">
        <f t="shared" si="62"/>
        <v>0</v>
      </c>
      <c r="M74" s="211"/>
      <c r="N74" s="176">
        <f t="shared" si="61"/>
        <v>170.670941</v>
      </c>
    </row>
    <row r="75" ht="21" customHeight="1" spans="1:14">
      <c r="A75" s="202"/>
      <c r="B75" s="203"/>
      <c r="C75" s="203" t="s">
        <v>394</v>
      </c>
      <c r="D75" s="200">
        <f t="shared" si="56"/>
        <v>177.442241</v>
      </c>
      <c r="E75" s="204">
        <f t="shared" si="57"/>
        <v>170.670941</v>
      </c>
      <c r="F75" s="205">
        <f>128.732941+18.72</f>
        <v>147.452941</v>
      </c>
      <c r="G75" s="205">
        <v>17.784</v>
      </c>
      <c r="H75" s="205">
        <v>5.434</v>
      </c>
      <c r="I75" s="204">
        <f t="shared" si="58"/>
        <v>6.7713</v>
      </c>
      <c r="J75" s="212"/>
      <c r="K75" s="205">
        <v>6.7713</v>
      </c>
      <c r="L75" s="205"/>
      <c r="M75" s="213"/>
      <c r="N75" s="176">
        <f t="shared" si="61"/>
        <v>170.670941</v>
      </c>
    </row>
    <row r="76" ht="21" customHeight="1" spans="1:14">
      <c r="A76" s="198" t="s">
        <v>395</v>
      </c>
      <c r="B76" s="199" t="s">
        <v>396</v>
      </c>
      <c r="C76" s="199"/>
      <c r="D76" s="200">
        <f t="shared" ref="D76:L76" si="63">D77</f>
        <v>10.072</v>
      </c>
      <c r="E76" s="200">
        <f t="shared" si="63"/>
        <v>0</v>
      </c>
      <c r="F76" s="200">
        <f t="shared" si="63"/>
        <v>0</v>
      </c>
      <c r="G76" s="200">
        <f t="shared" si="63"/>
        <v>0</v>
      </c>
      <c r="H76" s="200">
        <f t="shared" si="63"/>
        <v>0</v>
      </c>
      <c r="I76" s="200">
        <f t="shared" si="63"/>
        <v>10.072</v>
      </c>
      <c r="J76" s="200">
        <f t="shared" si="63"/>
        <v>10.072</v>
      </c>
      <c r="K76" s="200">
        <f t="shared" si="63"/>
        <v>0</v>
      </c>
      <c r="L76" s="200">
        <f t="shared" si="63"/>
        <v>0</v>
      </c>
      <c r="M76" s="211"/>
      <c r="N76" s="176">
        <f t="shared" si="61"/>
        <v>10.072</v>
      </c>
    </row>
    <row r="77" ht="21" customHeight="1" spans="1:14">
      <c r="A77" s="202"/>
      <c r="B77" s="203"/>
      <c r="C77" s="203" t="s">
        <v>394</v>
      </c>
      <c r="D77" s="200">
        <f t="shared" ref="D77:D81" si="64">E77+I77</f>
        <v>10.072</v>
      </c>
      <c r="E77" s="204">
        <f t="shared" ref="E77:E81" si="65">SUM(F77:H77)</f>
        <v>0</v>
      </c>
      <c r="F77" s="205"/>
      <c r="G77" s="205"/>
      <c r="H77" s="205"/>
      <c r="I77" s="204">
        <f t="shared" ref="I77:I81" si="66">SUM(J77:L77)</f>
        <v>10.072</v>
      </c>
      <c r="J77" s="212">
        <v>10.072</v>
      </c>
      <c r="K77" s="205"/>
      <c r="L77" s="205"/>
      <c r="M77" s="213" t="s">
        <v>397</v>
      </c>
      <c r="N77" s="176">
        <f t="shared" si="61"/>
        <v>10.072</v>
      </c>
    </row>
    <row r="78" ht="21" customHeight="1" spans="1:14">
      <c r="A78" s="198" t="s">
        <v>398</v>
      </c>
      <c r="B78" s="199" t="s">
        <v>399</v>
      </c>
      <c r="C78" s="199"/>
      <c r="D78" s="200">
        <f t="shared" ref="D78:L78" si="67">D79</f>
        <v>37.18</v>
      </c>
      <c r="E78" s="200">
        <f t="shared" si="67"/>
        <v>0</v>
      </c>
      <c r="F78" s="200">
        <f t="shared" si="67"/>
        <v>0</v>
      </c>
      <c r="G78" s="200">
        <f t="shared" si="67"/>
        <v>0</v>
      </c>
      <c r="H78" s="200">
        <f t="shared" si="67"/>
        <v>0</v>
      </c>
      <c r="I78" s="200">
        <f t="shared" si="67"/>
        <v>37.18</v>
      </c>
      <c r="J78" s="200">
        <f t="shared" si="67"/>
        <v>37.18</v>
      </c>
      <c r="K78" s="200">
        <f t="shared" si="67"/>
        <v>0</v>
      </c>
      <c r="L78" s="200">
        <f t="shared" si="67"/>
        <v>0</v>
      </c>
      <c r="M78" s="211"/>
      <c r="N78" s="176">
        <f t="shared" si="61"/>
        <v>37.18</v>
      </c>
    </row>
    <row r="79" ht="28" customHeight="1" spans="1:14">
      <c r="A79" s="202"/>
      <c r="B79" s="203"/>
      <c r="C79" s="203" t="s">
        <v>394</v>
      </c>
      <c r="D79" s="200">
        <f t="shared" si="64"/>
        <v>37.18</v>
      </c>
      <c r="E79" s="204">
        <f t="shared" si="65"/>
        <v>0</v>
      </c>
      <c r="F79" s="205"/>
      <c r="G79" s="205"/>
      <c r="H79" s="205"/>
      <c r="I79" s="204">
        <f t="shared" si="66"/>
        <v>37.18</v>
      </c>
      <c r="J79" s="212">
        <v>37.18</v>
      </c>
      <c r="K79" s="205"/>
      <c r="L79" s="205"/>
      <c r="M79" s="213" t="s">
        <v>400</v>
      </c>
      <c r="N79" s="176">
        <f t="shared" si="61"/>
        <v>37.18</v>
      </c>
    </row>
    <row r="80" ht="21" customHeight="1" spans="1:14">
      <c r="A80" s="198" t="s">
        <v>401</v>
      </c>
      <c r="B80" s="199" t="s">
        <v>402</v>
      </c>
      <c r="C80" s="199"/>
      <c r="D80" s="200">
        <f t="shared" ref="D80:L80" si="68">D81</f>
        <v>81.2</v>
      </c>
      <c r="E80" s="200">
        <f t="shared" si="68"/>
        <v>0</v>
      </c>
      <c r="F80" s="200">
        <f t="shared" si="68"/>
        <v>0</v>
      </c>
      <c r="G80" s="200">
        <f t="shared" si="68"/>
        <v>0</v>
      </c>
      <c r="H80" s="200">
        <f t="shared" si="68"/>
        <v>0</v>
      </c>
      <c r="I80" s="200">
        <f t="shared" si="68"/>
        <v>81.2</v>
      </c>
      <c r="J80" s="200">
        <f t="shared" si="68"/>
        <v>81.2</v>
      </c>
      <c r="K80" s="200">
        <f t="shared" si="68"/>
        <v>0</v>
      </c>
      <c r="L80" s="200">
        <f t="shared" si="68"/>
        <v>0</v>
      </c>
      <c r="M80" s="211"/>
      <c r="N80" s="176">
        <f t="shared" si="61"/>
        <v>81.2</v>
      </c>
    </row>
    <row r="81" ht="43" customHeight="1" spans="1:14">
      <c r="A81" s="202"/>
      <c r="B81" s="203"/>
      <c r="C81" s="203" t="s">
        <v>394</v>
      </c>
      <c r="D81" s="200">
        <f t="shared" si="64"/>
        <v>81.2</v>
      </c>
      <c r="E81" s="204">
        <f t="shared" si="65"/>
        <v>0</v>
      </c>
      <c r="F81" s="205"/>
      <c r="G81" s="205"/>
      <c r="H81" s="205"/>
      <c r="I81" s="204">
        <f t="shared" si="66"/>
        <v>81.2</v>
      </c>
      <c r="J81" s="212">
        <v>81.2</v>
      </c>
      <c r="K81" s="205"/>
      <c r="L81" s="205"/>
      <c r="M81" s="213" t="s">
        <v>403</v>
      </c>
      <c r="N81" s="176">
        <f t="shared" si="61"/>
        <v>81.2</v>
      </c>
    </row>
    <row r="82" ht="21" customHeight="1" spans="1:14">
      <c r="A82" s="198" t="s">
        <v>404</v>
      </c>
      <c r="B82" s="199" t="s">
        <v>405</v>
      </c>
      <c r="C82" s="199"/>
      <c r="D82" s="200">
        <f t="shared" ref="D82:J82" si="69">D83+D86+D88+D90+D92+D94</f>
        <v>1620.067994</v>
      </c>
      <c r="E82" s="200">
        <f t="shared" si="69"/>
        <v>1125.227994</v>
      </c>
      <c r="F82" s="200">
        <f t="shared" si="69"/>
        <v>951.271994</v>
      </c>
      <c r="G82" s="200">
        <f t="shared" si="69"/>
        <v>138.024</v>
      </c>
      <c r="H82" s="200">
        <f t="shared" si="69"/>
        <v>35.932</v>
      </c>
      <c r="I82" s="200">
        <f t="shared" si="69"/>
        <v>494.84</v>
      </c>
      <c r="J82" s="200">
        <f t="shared" si="69"/>
        <v>494.84</v>
      </c>
      <c r="K82" s="204"/>
      <c r="L82" s="204"/>
      <c r="M82" s="211"/>
      <c r="N82" s="176">
        <f t="shared" si="61"/>
        <v>1620.067994</v>
      </c>
    </row>
    <row r="83" ht="21" customHeight="1" spans="1:14">
      <c r="A83" s="198" t="s">
        <v>406</v>
      </c>
      <c r="B83" s="199" t="s">
        <v>295</v>
      </c>
      <c r="C83" s="203"/>
      <c r="D83" s="200">
        <f t="shared" ref="D83:L83" si="70">D84+D85</f>
        <v>1185.227994</v>
      </c>
      <c r="E83" s="200">
        <f t="shared" si="70"/>
        <v>1125.227994</v>
      </c>
      <c r="F83" s="200">
        <f t="shared" si="70"/>
        <v>951.271994</v>
      </c>
      <c r="G83" s="200">
        <f t="shared" si="70"/>
        <v>138.024</v>
      </c>
      <c r="H83" s="200">
        <f t="shared" si="70"/>
        <v>35.932</v>
      </c>
      <c r="I83" s="200">
        <f t="shared" si="70"/>
        <v>60</v>
      </c>
      <c r="J83" s="200">
        <f t="shared" si="70"/>
        <v>60</v>
      </c>
      <c r="K83" s="200">
        <f t="shared" si="70"/>
        <v>0</v>
      </c>
      <c r="L83" s="200">
        <f t="shared" si="70"/>
        <v>0</v>
      </c>
      <c r="M83" s="211"/>
      <c r="N83" s="176">
        <f t="shared" si="61"/>
        <v>1185.227994</v>
      </c>
    </row>
    <row r="84" ht="21" customHeight="1" spans="1:14">
      <c r="A84" s="202"/>
      <c r="B84" s="203"/>
      <c r="C84" s="203" t="s">
        <v>407</v>
      </c>
      <c r="D84" s="200">
        <f t="shared" ref="D84:D87" si="71">E84+I84</f>
        <v>644.725075</v>
      </c>
      <c r="E84" s="204">
        <f t="shared" ref="E84:E87" si="72">SUM(F84:H84)</f>
        <v>644.725075</v>
      </c>
      <c r="F84" s="205">
        <f>447.555075+89.28</f>
        <v>536.835075</v>
      </c>
      <c r="G84" s="205">
        <v>76.896</v>
      </c>
      <c r="H84" s="205">
        <v>30.994</v>
      </c>
      <c r="I84" s="204">
        <f t="shared" ref="I84:I87" si="73">SUM(J84:L84)</f>
        <v>0</v>
      </c>
      <c r="J84" s="212"/>
      <c r="K84" s="205"/>
      <c r="L84" s="205"/>
      <c r="M84" s="213"/>
      <c r="N84" s="176">
        <f t="shared" si="61"/>
        <v>644.725075</v>
      </c>
    </row>
    <row r="85" ht="27" customHeight="1" spans="1:14">
      <c r="A85" s="202"/>
      <c r="B85" s="203"/>
      <c r="C85" s="203" t="s">
        <v>408</v>
      </c>
      <c r="D85" s="200">
        <f t="shared" si="71"/>
        <v>540.502919</v>
      </c>
      <c r="E85" s="204">
        <f t="shared" si="72"/>
        <v>480.502919</v>
      </c>
      <c r="F85" s="214">
        <v>414.436919</v>
      </c>
      <c r="G85" s="214">
        <v>61.128</v>
      </c>
      <c r="H85" s="214">
        <v>4.938</v>
      </c>
      <c r="I85" s="204">
        <f t="shared" si="73"/>
        <v>60</v>
      </c>
      <c r="J85" s="214">
        <v>60</v>
      </c>
      <c r="K85" s="200">
        <v>0</v>
      </c>
      <c r="L85" s="200"/>
      <c r="M85" s="213"/>
      <c r="N85" s="176">
        <f t="shared" si="61"/>
        <v>540.502919</v>
      </c>
    </row>
    <row r="86" ht="21" customHeight="1" spans="1:14">
      <c r="A86" s="198" t="s">
        <v>409</v>
      </c>
      <c r="B86" s="199" t="s">
        <v>410</v>
      </c>
      <c r="C86" s="199"/>
      <c r="D86" s="200">
        <f t="shared" ref="D86:L86" si="74">D87</f>
        <v>10.8</v>
      </c>
      <c r="E86" s="200">
        <f t="shared" si="74"/>
        <v>0</v>
      </c>
      <c r="F86" s="200">
        <f t="shared" si="74"/>
        <v>0</v>
      </c>
      <c r="G86" s="200">
        <f t="shared" si="74"/>
        <v>0</v>
      </c>
      <c r="H86" s="200">
        <f t="shared" si="74"/>
        <v>0</v>
      </c>
      <c r="I86" s="200">
        <f t="shared" si="74"/>
        <v>10.8</v>
      </c>
      <c r="J86" s="200">
        <f t="shared" si="74"/>
        <v>10.8</v>
      </c>
      <c r="K86" s="200">
        <f t="shared" si="74"/>
        <v>0</v>
      </c>
      <c r="L86" s="200">
        <f t="shared" si="74"/>
        <v>0</v>
      </c>
      <c r="M86" s="211"/>
      <c r="N86" s="176">
        <f t="shared" si="61"/>
        <v>10.8</v>
      </c>
    </row>
    <row r="87" ht="21" customHeight="1" spans="1:14">
      <c r="A87" s="202"/>
      <c r="B87" s="203"/>
      <c r="C87" s="203" t="s">
        <v>407</v>
      </c>
      <c r="D87" s="200">
        <f t="shared" si="71"/>
        <v>10.8</v>
      </c>
      <c r="E87" s="204">
        <f t="shared" si="72"/>
        <v>0</v>
      </c>
      <c r="F87" s="205"/>
      <c r="G87" s="205"/>
      <c r="H87" s="205"/>
      <c r="I87" s="204">
        <f t="shared" si="73"/>
        <v>10.8</v>
      </c>
      <c r="J87" s="212">
        <v>10.8</v>
      </c>
      <c r="K87" s="205"/>
      <c r="L87" s="205"/>
      <c r="M87" s="213" t="s">
        <v>411</v>
      </c>
      <c r="N87" s="176">
        <f t="shared" si="61"/>
        <v>10.8</v>
      </c>
    </row>
    <row r="88" ht="21" customHeight="1" spans="1:14">
      <c r="A88" s="198" t="s">
        <v>412</v>
      </c>
      <c r="B88" s="199" t="s">
        <v>413</v>
      </c>
      <c r="C88" s="199"/>
      <c r="D88" s="200">
        <f t="shared" ref="D88:L88" si="75">D89</f>
        <v>36</v>
      </c>
      <c r="E88" s="200">
        <f t="shared" si="75"/>
        <v>0</v>
      </c>
      <c r="F88" s="200">
        <f t="shared" si="75"/>
        <v>0</v>
      </c>
      <c r="G88" s="200">
        <f t="shared" si="75"/>
        <v>0</v>
      </c>
      <c r="H88" s="200">
        <f t="shared" si="75"/>
        <v>0</v>
      </c>
      <c r="I88" s="200">
        <f t="shared" si="75"/>
        <v>36</v>
      </c>
      <c r="J88" s="200">
        <f t="shared" si="75"/>
        <v>36</v>
      </c>
      <c r="K88" s="200">
        <f t="shared" si="75"/>
        <v>0</v>
      </c>
      <c r="L88" s="200">
        <f t="shared" si="75"/>
        <v>0</v>
      </c>
      <c r="M88" s="211"/>
      <c r="N88" s="176">
        <f t="shared" si="61"/>
        <v>36</v>
      </c>
    </row>
    <row r="89" ht="21" customHeight="1" spans="1:14">
      <c r="A89" s="202"/>
      <c r="B89" s="203"/>
      <c r="C89" s="203" t="s">
        <v>407</v>
      </c>
      <c r="D89" s="200">
        <f t="shared" ref="D89:D93" si="76">E89+I89</f>
        <v>36</v>
      </c>
      <c r="E89" s="204">
        <f t="shared" ref="E89:E93" si="77">SUM(F89:H89)</f>
        <v>0</v>
      </c>
      <c r="F89" s="205"/>
      <c r="G89" s="205"/>
      <c r="H89" s="205"/>
      <c r="I89" s="204">
        <f t="shared" ref="I89:I93" si="78">SUM(J89:L89)</f>
        <v>36</v>
      </c>
      <c r="J89" s="212">
        <v>36</v>
      </c>
      <c r="K89" s="205"/>
      <c r="L89" s="205"/>
      <c r="M89" s="213" t="s">
        <v>414</v>
      </c>
      <c r="N89" s="176">
        <f t="shared" si="61"/>
        <v>36</v>
      </c>
    </row>
    <row r="90" ht="21" customHeight="1" spans="1:14">
      <c r="A90" s="198" t="s">
        <v>415</v>
      </c>
      <c r="B90" s="199" t="s">
        <v>416</v>
      </c>
      <c r="C90" s="199"/>
      <c r="D90" s="200">
        <f t="shared" ref="D90:L90" si="79">D91</f>
        <v>5.2</v>
      </c>
      <c r="E90" s="200">
        <f t="shared" si="79"/>
        <v>0</v>
      </c>
      <c r="F90" s="200">
        <f t="shared" si="79"/>
        <v>0</v>
      </c>
      <c r="G90" s="200">
        <f t="shared" si="79"/>
        <v>0</v>
      </c>
      <c r="H90" s="200">
        <f t="shared" si="79"/>
        <v>0</v>
      </c>
      <c r="I90" s="200">
        <f t="shared" si="79"/>
        <v>5.2</v>
      </c>
      <c r="J90" s="200">
        <f t="shared" si="79"/>
        <v>5.2</v>
      </c>
      <c r="K90" s="200">
        <f t="shared" si="79"/>
        <v>0</v>
      </c>
      <c r="L90" s="200">
        <f t="shared" si="79"/>
        <v>0</v>
      </c>
      <c r="M90" s="211"/>
      <c r="N90" s="176">
        <f t="shared" si="61"/>
        <v>5.2</v>
      </c>
    </row>
    <row r="91" ht="21" customHeight="1" spans="1:14">
      <c r="A91" s="202"/>
      <c r="B91" s="203"/>
      <c r="C91" s="203" t="s">
        <v>407</v>
      </c>
      <c r="D91" s="200">
        <f t="shared" si="76"/>
        <v>5.2</v>
      </c>
      <c r="E91" s="204">
        <f t="shared" si="77"/>
        <v>0</v>
      </c>
      <c r="F91" s="205"/>
      <c r="G91" s="205"/>
      <c r="H91" s="205"/>
      <c r="I91" s="204">
        <f t="shared" si="78"/>
        <v>5.2</v>
      </c>
      <c r="J91" s="212">
        <v>5.2</v>
      </c>
      <c r="K91" s="205"/>
      <c r="L91" s="205"/>
      <c r="M91" s="213" t="s">
        <v>417</v>
      </c>
      <c r="N91" s="176">
        <f t="shared" si="61"/>
        <v>5.2</v>
      </c>
    </row>
    <row r="92" ht="21" customHeight="1" spans="1:14">
      <c r="A92" s="198" t="s">
        <v>418</v>
      </c>
      <c r="B92" s="199" t="s">
        <v>419</v>
      </c>
      <c r="C92" s="199"/>
      <c r="D92" s="200">
        <f t="shared" ref="D92:L92" si="80">D93</f>
        <v>170.57</v>
      </c>
      <c r="E92" s="200">
        <f t="shared" si="80"/>
        <v>0</v>
      </c>
      <c r="F92" s="200">
        <f t="shared" si="80"/>
        <v>0</v>
      </c>
      <c r="G92" s="200">
        <f t="shared" si="80"/>
        <v>0</v>
      </c>
      <c r="H92" s="200">
        <f t="shared" si="80"/>
        <v>0</v>
      </c>
      <c r="I92" s="200">
        <f t="shared" si="80"/>
        <v>170.57</v>
      </c>
      <c r="J92" s="200">
        <f t="shared" si="80"/>
        <v>170.57</v>
      </c>
      <c r="K92" s="200">
        <f t="shared" si="80"/>
        <v>0</v>
      </c>
      <c r="L92" s="200">
        <f t="shared" si="80"/>
        <v>0</v>
      </c>
      <c r="M92" s="211"/>
      <c r="N92" s="176">
        <f t="shared" si="61"/>
        <v>170.57</v>
      </c>
    </row>
    <row r="93" ht="21" customHeight="1" spans="1:14">
      <c r="A93" s="202"/>
      <c r="B93" s="203"/>
      <c r="C93" s="203" t="s">
        <v>407</v>
      </c>
      <c r="D93" s="200">
        <f t="shared" si="76"/>
        <v>170.57</v>
      </c>
      <c r="E93" s="204">
        <f t="shared" si="77"/>
        <v>0</v>
      </c>
      <c r="F93" s="205"/>
      <c r="G93" s="205"/>
      <c r="H93" s="205"/>
      <c r="I93" s="204">
        <f t="shared" si="78"/>
        <v>170.57</v>
      </c>
      <c r="J93" s="212">
        <v>170.57</v>
      </c>
      <c r="K93" s="205"/>
      <c r="L93" s="205"/>
      <c r="M93" s="213" t="s">
        <v>420</v>
      </c>
      <c r="N93" s="176">
        <f t="shared" si="61"/>
        <v>170.57</v>
      </c>
    </row>
    <row r="94" ht="21" customHeight="1" spans="1:14">
      <c r="A94" s="198" t="s">
        <v>421</v>
      </c>
      <c r="B94" s="199" t="s">
        <v>422</v>
      </c>
      <c r="C94" s="199"/>
      <c r="D94" s="200">
        <f t="shared" ref="D94:L94" si="81">D95</f>
        <v>212.27</v>
      </c>
      <c r="E94" s="200">
        <f t="shared" si="81"/>
        <v>0</v>
      </c>
      <c r="F94" s="200">
        <f t="shared" si="81"/>
        <v>0</v>
      </c>
      <c r="G94" s="200">
        <f t="shared" si="81"/>
        <v>0</v>
      </c>
      <c r="H94" s="200">
        <f t="shared" si="81"/>
        <v>0</v>
      </c>
      <c r="I94" s="200">
        <f t="shared" si="81"/>
        <v>212.27</v>
      </c>
      <c r="J94" s="200">
        <f t="shared" si="81"/>
        <v>212.27</v>
      </c>
      <c r="K94" s="200">
        <f t="shared" si="81"/>
        <v>0</v>
      </c>
      <c r="L94" s="200">
        <f t="shared" si="81"/>
        <v>0</v>
      </c>
      <c r="M94" s="211"/>
      <c r="N94" s="176">
        <f t="shared" si="61"/>
        <v>212.27</v>
      </c>
    </row>
    <row r="95" ht="78" customHeight="1" spans="1:14">
      <c r="A95" s="202"/>
      <c r="B95" s="203"/>
      <c r="C95" s="203" t="s">
        <v>407</v>
      </c>
      <c r="D95" s="200">
        <f t="shared" ref="D95:D100" si="82">E95+I95</f>
        <v>212.27</v>
      </c>
      <c r="E95" s="204">
        <f t="shared" ref="E95:E100" si="83">SUM(F95:H95)</f>
        <v>0</v>
      </c>
      <c r="F95" s="205"/>
      <c r="G95" s="205"/>
      <c r="H95" s="205"/>
      <c r="I95" s="204">
        <f t="shared" ref="I95:I100" si="84">SUM(J95:L95)</f>
        <v>212.27</v>
      </c>
      <c r="J95" s="212">
        <v>212.27</v>
      </c>
      <c r="K95" s="205"/>
      <c r="L95" s="205"/>
      <c r="M95" s="213" t="s">
        <v>423</v>
      </c>
      <c r="N95" s="176">
        <f t="shared" si="61"/>
        <v>212.27</v>
      </c>
    </row>
    <row r="96" ht="22" customHeight="1" spans="1:14">
      <c r="A96" s="198" t="s">
        <v>424</v>
      </c>
      <c r="B96" s="199" t="s">
        <v>425</v>
      </c>
      <c r="C96" s="199"/>
      <c r="D96" s="200">
        <f t="shared" ref="D96:L96" si="85">D97+D99+D101+D103+D105+D107</f>
        <v>277.112639</v>
      </c>
      <c r="E96" s="200">
        <f t="shared" si="85"/>
        <v>162.682639</v>
      </c>
      <c r="F96" s="200">
        <f t="shared" si="85"/>
        <v>141.003739</v>
      </c>
      <c r="G96" s="200">
        <f t="shared" si="85"/>
        <v>18.468</v>
      </c>
      <c r="H96" s="200">
        <f t="shared" si="85"/>
        <v>3.2109</v>
      </c>
      <c r="I96" s="200">
        <f t="shared" si="85"/>
        <v>114.43</v>
      </c>
      <c r="J96" s="200">
        <f t="shared" si="85"/>
        <v>114.43</v>
      </c>
      <c r="K96" s="200">
        <f t="shared" si="85"/>
        <v>0</v>
      </c>
      <c r="L96" s="200">
        <f t="shared" si="85"/>
        <v>0</v>
      </c>
      <c r="M96" s="211"/>
      <c r="N96" s="176">
        <f t="shared" si="61"/>
        <v>277.112639</v>
      </c>
    </row>
    <row r="97" ht="22" customHeight="1" spans="1:14">
      <c r="A97" s="198" t="s">
        <v>426</v>
      </c>
      <c r="B97" s="199" t="s">
        <v>295</v>
      </c>
      <c r="C97" s="199"/>
      <c r="D97" s="200">
        <f t="shared" ref="D97:L97" si="86">D98</f>
        <v>162.682639</v>
      </c>
      <c r="E97" s="200">
        <f t="shared" si="86"/>
        <v>162.682639</v>
      </c>
      <c r="F97" s="200">
        <f t="shared" si="86"/>
        <v>141.003739</v>
      </c>
      <c r="G97" s="200">
        <f t="shared" si="86"/>
        <v>18.468</v>
      </c>
      <c r="H97" s="200">
        <f t="shared" si="86"/>
        <v>3.2109</v>
      </c>
      <c r="I97" s="200">
        <f t="shared" si="86"/>
        <v>0</v>
      </c>
      <c r="J97" s="200">
        <f t="shared" si="86"/>
        <v>0</v>
      </c>
      <c r="K97" s="200">
        <f t="shared" si="86"/>
        <v>0</v>
      </c>
      <c r="L97" s="200">
        <f t="shared" si="86"/>
        <v>0</v>
      </c>
      <c r="M97" s="211"/>
      <c r="N97" s="176">
        <f t="shared" si="61"/>
        <v>162.682639</v>
      </c>
    </row>
    <row r="98" ht="22" customHeight="1" spans="1:14">
      <c r="A98" s="202"/>
      <c r="B98" s="203"/>
      <c r="C98" s="203" t="s">
        <v>427</v>
      </c>
      <c r="D98" s="200">
        <f t="shared" si="82"/>
        <v>162.682639</v>
      </c>
      <c r="E98" s="204">
        <f t="shared" si="83"/>
        <v>162.682639</v>
      </c>
      <c r="F98" s="205">
        <v>141.003739</v>
      </c>
      <c r="G98" s="205">
        <v>18.468</v>
      </c>
      <c r="H98" s="205">
        <v>3.2109</v>
      </c>
      <c r="I98" s="204">
        <f t="shared" si="84"/>
        <v>0</v>
      </c>
      <c r="J98" s="212"/>
      <c r="K98" s="205"/>
      <c r="L98" s="205"/>
      <c r="M98" s="213"/>
      <c r="N98" s="176">
        <f t="shared" si="61"/>
        <v>162.682639</v>
      </c>
    </row>
    <row r="99" ht="22" customHeight="1" spans="1:14">
      <c r="A99" s="198" t="s">
        <v>428</v>
      </c>
      <c r="B99" s="199" t="s">
        <v>429</v>
      </c>
      <c r="C99" s="199"/>
      <c r="D99" s="200">
        <f t="shared" ref="D99:L99" si="87">D100</f>
        <v>84.19</v>
      </c>
      <c r="E99" s="200">
        <f t="shared" si="87"/>
        <v>0</v>
      </c>
      <c r="F99" s="200">
        <f t="shared" si="87"/>
        <v>0</v>
      </c>
      <c r="G99" s="200">
        <f t="shared" si="87"/>
        <v>0</v>
      </c>
      <c r="H99" s="200">
        <f t="shared" si="87"/>
        <v>0</v>
      </c>
      <c r="I99" s="200">
        <f t="shared" si="87"/>
        <v>84.19</v>
      </c>
      <c r="J99" s="200">
        <f t="shared" si="87"/>
        <v>84.19</v>
      </c>
      <c r="K99" s="200">
        <f t="shared" si="87"/>
        <v>0</v>
      </c>
      <c r="L99" s="200">
        <f t="shared" si="87"/>
        <v>0</v>
      </c>
      <c r="M99" s="211"/>
      <c r="N99" s="176">
        <f t="shared" si="61"/>
        <v>84.19</v>
      </c>
    </row>
    <row r="100" ht="29" customHeight="1" spans="1:14">
      <c r="A100" s="202"/>
      <c r="B100" s="203"/>
      <c r="C100" s="203" t="s">
        <v>427</v>
      </c>
      <c r="D100" s="200">
        <f t="shared" si="82"/>
        <v>84.19</v>
      </c>
      <c r="E100" s="204">
        <f t="shared" si="83"/>
        <v>0</v>
      </c>
      <c r="F100" s="205"/>
      <c r="G100" s="205"/>
      <c r="H100" s="205"/>
      <c r="I100" s="204">
        <f t="shared" si="84"/>
        <v>84.19</v>
      </c>
      <c r="J100" s="212">
        <v>84.19</v>
      </c>
      <c r="K100" s="205"/>
      <c r="L100" s="205"/>
      <c r="M100" s="213" t="s">
        <v>430</v>
      </c>
      <c r="N100" s="176">
        <f t="shared" si="61"/>
        <v>84.19</v>
      </c>
    </row>
    <row r="101" ht="21" customHeight="1" spans="1:14">
      <c r="A101" s="198" t="s">
        <v>431</v>
      </c>
      <c r="B101" s="199" t="s">
        <v>432</v>
      </c>
      <c r="C101" s="199"/>
      <c r="D101" s="200">
        <f t="shared" ref="D101:L101" si="88">D102</f>
        <v>6.4</v>
      </c>
      <c r="E101" s="200">
        <f t="shared" si="88"/>
        <v>0</v>
      </c>
      <c r="F101" s="200">
        <f t="shared" si="88"/>
        <v>0</v>
      </c>
      <c r="G101" s="200">
        <f t="shared" si="88"/>
        <v>0</v>
      </c>
      <c r="H101" s="200">
        <f t="shared" si="88"/>
        <v>0</v>
      </c>
      <c r="I101" s="200">
        <f t="shared" si="88"/>
        <v>6.4</v>
      </c>
      <c r="J101" s="200">
        <f t="shared" si="88"/>
        <v>6.4</v>
      </c>
      <c r="K101" s="200">
        <f t="shared" si="88"/>
        <v>0</v>
      </c>
      <c r="L101" s="200">
        <f t="shared" si="88"/>
        <v>0</v>
      </c>
      <c r="M101" s="211"/>
      <c r="N101" s="176">
        <f t="shared" si="61"/>
        <v>6.4</v>
      </c>
    </row>
    <row r="102" ht="21" customHeight="1" spans="1:14">
      <c r="A102" s="202"/>
      <c r="B102" s="203"/>
      <c r="C102" s="203" t="s">
        <v>427</v>
      </c>
      <c r="D102" s="200">
        <f t="shared" ref="D102:D106" si="89">E102+I102</f>
        <v>6.4</v>
      </c>
      <c r="E102" s="204">
        <f t="shared" ref="E102:E106" si="90">SUM(F102:H102)</f>
        <v>0</v>
      </c>
      <c r="F102" s="205"/>
      <c r="G102" s="205"/>
      <c r="H102" s="205"/>
      <c r="I102" s="204">
        <f t="shared" ref="I102:I106" si="91">SUM(J102:L102)</f>
        <v>6.4</v>
      </c>
      <c r="J102" s="212">
        <v>6.4</v>
      </c>
      <c r="K102" s="205"/>
      <c r="L102" s="205"/>
      <c r="M102" s="213" t="s">
        <v>433</v>
      </c>
      <c r="N102" s="176">
        <f t="shared" si="61"/>
        <v>6.4</v>
      </c>
    </row>
    <row r="103" ht="21" customHeight="1" spans="1:14">
      <c r="A103" s="198" t="s">
        <v>434</v>
      </c>
      <c r="B103" s="199" t="s">
        <v>435</v>
      </c>
      <c r="C103" s="199"/>
      <c r="D103" s="200">
        <f t="shared" ref="D103:L103" si="92">D104</f>
        <v>16</v>
      </c>
      <c r="E103" s="200">
        <f t="shared" si="92"/>
        <v>0</v>
      </c>
      <c r="F103" s="200">
        <f t="shared" si="92"/>
        <v>0</v>
      </c>
      <c r="G103" s="200">
        <f t="shared" si="92"/>
        <v>0</v>
      </c>
      <c r="H103" s="200">
        <f t="shared" si="92"/>
        <v>0</v>
      </c>
      <c r="I103" s="200">
        <f t="shared" si="92"/>
        <v>16</v>
      </c>
      <c r="J103" s="200">
        <f t="shared" si="92"/>
        <v>16</v>
      </c>
      <c r="K103" s="200">
        <f t="shared" si="92"/>
        <v>0</v>
      </c>
      <c r="L103" s="200">
        <f t="shared" si="92"/>
        <v>0</v>
      </c>
      <c r="M103" s="211"/>
      <c r="N103" s="176">
        <f t="shared" si="61"/>
        <v>16</v>
      </c>
    </row>
    <row r="104" ht="21" customHeight="1" spans="1:14">
      <c r="A104" s="202"/>
      <c r="B104" s="203"/>
      <c r="C104" s="203" t="s">
        <v>427</v>
      </c>
      <c r="D104" s="200">
        <f t="shared" si="89"/>
        <v>16</v>
      </c>
      <c r="E104" s="204">
        <f t="shared" si="90"/>
        <v>0</v>
      </c>
      <c r="F104" s="205"/>
      <c r="G104" s="205"/>
      <c r="H104" s="205"/>
      <c r="I104" s="204">
        <f t="shared" si="91"/>
        <v>16</v>
      </c>
      <c r="J104" s="212">
        <v>16</v>
      </c>
      <c r="K104" s="205"/>
      <c r="L104" s="205"/>
      <c r="M104" s="213" t="s">
        <v>436</v>
      </c>
      <c r="N104" s="176">
        <f t="shared" si="61"/>
        <v>16</v>
      </c>
    </row>
    <row r="105" ht="21" customHeight="1" spans="1:14">
      <c r="A105" s="198" t="s">
        <v>437</v>
      </c>
      <c r="B105" s="199" t="s">
        <v>369</v>
      </c>
      <c r="C105" s="199"/>
      <c r="D105" s="200">
        <f t="shared" ref="D105:L105" si="93">D106</f>
        <v>4.8</v>
      </c>
      <c r="E105" s="200">
        <f t="shared" si="93"/>
        <v>0</v>
      </c>
      <c r="F105" s="200">
        <f t="shared" si="93"/>
        <v>0</v>
      </c>
      <c r="G105" s="200">
        <f t="shared" si="93"/>
        <v>0</v>
      </c>
      <c r="H105" s="200">
        <f t="shared" si="93"/>
        <v>0</v>
      </c>
      <c r="I105" s="200">
        <f t="shared" si="93"/>
        <v>4.8</v>
      </c>
      <c r="J105" s="200">
        <f t="shared" si="93"/>
        <v>4.8</v>
      </c>
      <c r="K105" s="200">
        <f t="shared" si="93"/>
        <v>0</v>
      </c>
      <c r="L105" s="200">
        <f t="shared" si="93"/>
        <v>0</v>
      </c>
      <c r="M105" s="211"/>
      <c r="N105" s="176">
        <f t="shared" si="61"/>
        <v>4.8</v>
      </c>
    </row>
    <row r="106" ht="21" customHeight="1" spans="1:14">
      <c r="A106" s="202"/>
      <c r="B106" s="203"/>
      <c r="C106" s="203" t="s">
        <v>427</v>
      </c>
      <c r="D106" s="200">
        <f t="shared" si="89"/>
        <v>4.8</v>
      </c>
      <c r="E106" s="204">
        <f t="shared" si="90"/>
        <v>0</v>
      </c>
      <c r="F106" s="205"/>
      <c r="G106" s="205"/>
      <c r="H106" s="205"/>
      <c r="I106" s="204">
        <f t="shared" si="91"/>
        <v>4.8</v>
      </c>
      <c r="J106" s="212">
        <v>4.8</v>
      </c>
      <c r="K106" s="205"/>
      <c r="L106" s="205"/>
      <c r="M106" s="213" t="s">
        <v>438</v>
      </c>
      <c r="N106" s="176">
        <f t="shared" si="61"/>
        <v>4.8</v>
      </c>
    </row>
    <row r="107" ht="21" customHeight="1" spans="1:14">
      <c r="A107" s="198" t="s">
        <v>439</v>
      </c>
      <c r="B107" s="199" t="s">
        <v>440</v>
      </c>
      <c r="C107" s="199"/>
      <c r="D107" s="200">
        <f t="shared" ref="D107:L107" si="94">D108</f>
        <v>3.04</v>
      </c>
      <c r="E107" s="200">
        <f t="shared" si="94"/>
        <v>0</v>
      </c>
      <c r="F107" s="200">
        <f t="shared" si="94"/>
        <v>0</v>
      </c>
      <c r="G107" s="200">
        <f t="shared" si="94"/>
        <v>0</v>
      </c>
      <c r="H107" s="200">
        <f t="shared" si="94"/>
        <v>0</v>
      </c>
      <c r="I107" s="200">
        <f t="shared" si="94"/>
        <v>3.04</v>
      </c>
      <c r="J107" s="200">
        <f t="shared" si="94"/>
        <v>3.04</v>
      </c>
      <c r="K107" s="200">
        <f t="shared" si="94"/>
        <v>0</v>
      </c>
      <c r="L107" s="200">
        <f t="shared" si="94"/>
        <v>0</v>
      </c>
      <c r="M107" s="211"/>
      <c r="N107" s="176">
        <f t="shared" si="61"/>
        <v>3.04</v>
      </c>
    </row>
    <row r="108" ht="42" customHeight="1" spans="1:14">
      <c r="A108" s="202"/>
      <c r="B108" s="203"/>
      <c r="C108" s="203" t="s">
        <v>427</v>
      </c>
      <c r="D108" s="200">
        <f t="shared" ref="D108:D113" si="95">E108+I108</f>
        <v>3.04</v>
      </c>
      <c r="E108" s="204">
        <f t="shared" ref="E108:E113" si="96">SUM(F108:H108)</f>
        <v>0</v>
      </c>
      <c r="F108" s="205"/>
      <c r="G108" s="205"/>
      <c r="H108" s="205"/>
      <c r="I108" s="204">
        <f t="shared" ref="I108:I113" si="97">SUM(J108:L108)</f>
        <v>3.04</v>
      </c>
      <c r="J108" s="212">
        <v>3.04</v>
      </c>
      <c r="K108" s="205"/>
      <c r="L108" s="205"/>
      <c r="M108" s="213" t="s">
        <v>441</v>
      </c>
      <c r="N108" s="176">
        <f t="shared" si="61"/>
        <v>3.04</v>
      </c>
    </row>
    <row r="109" ht="21" customHeight="1" spans="1:14">
      <c r="A109" s="198" t="s">
        <v>442</v>
      </c>
      <c r="B109" s="199" t="s">
        <v>443</v>
      </c>
      <c r="C109" s="199"/>
      <c r="D109" s="200">
        <f t="shared" ref="D109:L109" si="98">D110+D112+D114+D116</f>
        <v>1082.053842</v>
      </c>
      <c r="E109" s="200">
        <f t="shared" si="98"/>
        <v>867.653842</v>
      </c>
      <c r="F109" s="200">
        <f t="shared" si="98"/>
        <v>731.657842</v>
      </c>
      <c r="G109" s="200">
        <f t="shared" si="98"/>
        <v>123.848</v>
      </c>
      <c r="H109" s="200">
        <f t="shared" si="98"/>
        <v>12.148</v>
      </c>
      <c r="I109" s="200">
        <f t="shared" si="98"/>
        <v>214.4</v>
      </c>
      <c r="J109" s="200">
        <f t="shared" si="98"/>
        <v>214.4</v>
      </c>
      <c r="K109" s="200">
        <f t="shared" si="98"/>
        <v>0</v>
      </c>
      <c r="L109" s="200">
        <f t="shared" si="98"/>
        <v>0</v>
      </c>
      <c r="M109" s="211"/>
      <c r="N109" s="176">
        <f t="shared" si="61"/>
        <v>1082.053842</v>
      </c>
    </row>
    <row r="110" ht="21" customHeight="1" spans="1:14">
      <c r="A110" s="198" t="s">
        <v>444</v>
      </c>
      <c r="B110" s="199" t="s">
        <v>295</v>
      </c>
      <c r="C110" s="199"/>
      <c r="D110" s="200">
        <f t="shared" ref="D110:L110" si="99">D111</f>
        <v>938.053842</v>
      </c>
      <c r="E110" s="200">
        <f t="shared" si="99"/>
        <v>867.653842</v>
      </c>
      <c r="F110" s="200">
        <f t="shared" si="99"/>
        <v>731.657842</v>
      </c>
      <c r="G110" s="200">
        <f t="shared" si="99"/>
        <v>123.848</v>
      </c>
      <c r="H110" s="200">
        <f t="shared" si="99"/>
        <v>12.148</v>
      </c>
      <c r="I110" s="200">
        <f t="shared" si="99"/>
        <v>70.4</v>
      </c>
      <c r="J110" s="200">
        <f t="shared" si="99"/>
        <v>70.4</v>
      </c>
      <c r="K110" s="200">
        <f t="shared" si="99"/>
        <v>0</v>
      </c>
      <c r="L110" s="200">
        <f t="shared" si="99"/>
        <v>0</v>
      </c>
      <c r="M110" s="211"/>
      <c r="N110" s="176">
        <f t="shared" si="61"/>
        <v>938.053842</v>
      </c>
    </row>
    <row r="111" ht="42" customHeight="1" spans="1:14">
      <c r="A111" s="202"/>
      <c r="B111" s="203"/>
      <c r="C111" s="203" t="s">
        <v>445</v>
      </c>
      <c r="D111" s="200">
        <f t="shared" si="95"/>
        <v>938.053842</v>
      </c>
      <c r="E111" s="204">
        <f t="shared" si="96"/>
        <v>867.653842</v>
      </c>
      <c r="F111" s="205">
        <v>731.657842</v>
      </c>
      <c r="G111" s="205">
        <v>123.848</v>
      </c>
      <c r="H111" s="205">
        <v>12.148</v>
      </c>
      <c r="I111" s="204">
        <f t="shared" si="97"/>
        <v>70.4</v>
      </c>
      <c r="J111" s="212">
        <v>70.4</v>
      </c>
      <c r="K111" s="205"/>
      <c r="L111" s="205"/>
      <c r="M111" s="213" t="s">
        <v>446</v>
      </c>
      <c r="N111" s="176">
        <f t="shared" si="61"/>
        <v>938.053842</v>
      </c>
    </row>
    <row r="112" ht="24" customHeight="1" spans="1:14">
      <c r="A112" s="198" t="s">
        <v>447</v>
      </c>
      <c r="B112" s="199" t="s">
        <v>448</v>
      </c>
      <c r="C112" s="199"/>
      <c r="D112" s="200">
        <f t="shared" ref="D112:L112" si="100">D113</f>
        <v>5</v>
      </c>
      <c r="E112" s="200">
        <f t="shared" si="100"/>
        <v>0</v>
      </c>
      <c r="F112" s="200">
        <f t="shared" si="100"/>
        <v>0</v>
      </c>
      <c r="G112" s="200">
        <f t="shared" si="100"/>
        <v>0</v>
      </c>
      <c r="H112" s="200">
        <f t="shared" si="100"/>
        <v>0</v>
      </c>
      <c r="I112" s="200">
        <f t="shared" si="100"/>
        <v>5</v>
      </c>
      <c r="J112" s="200">
        <f t="shared" si="100"/>
        <v>5</v>
      </c>
      <c r="K112" s="200">
        <f t="shared" si="100"/>
        <v>0</v>
      </c>
      <c r="L112" s="200">
        <f t="shared" si="100"/>
        <v>0</v>
      </c>
      <c r="M112" s="211"/>
      <c r="N112" s="176">
        <f t="shared" si="61"/>
        <v>5</v>
      </c>
    </row>
    <row r="113" ht="24" customHeight="1" spans="1:14">
      <c r="A113" s="202"/>
      <c r="B113" s="203"/>
      <c r="C113" s="203" t="s">
        <v>445</v>
      </c>
      <c r="D113" s="200">
        <f t="shared" si="95"/>
        <v>5</v>
      </c>
      <c r="E113" s="204">
        <f t="shared" si="96"/>
        <v>0</v>
      </c>
      <c r="F113" s="205"/>
      <c r="G113" s="205"/>
      <c r="H113" s="205"/>
      <c r="I113" s="204">
        <f t="shared" si="97"/>
        <v>5</v>
      </c>
      <c r="J113" s="212">
        <v>5</v>
      </c>
      <c r="K113" s="205"/>
      <c r="L113" s="205"/>
      <c r="M113" s="213" t="s">
        <v>449</v>
      </c>
      <c r="N113" s="176">
        <f t="shared" si="61"/>
        <v>5</v>
      </c>
    </row>
    <row r="114" ht="24" customHeight="1" spans="1:14">
      <c r="A114" s="198" t="s">
        <v>450</v>
      </c>
      <c r="B114" s="199" t="s">
        <v>451</v>
      </c>
      <c r="C114" s="199"/>
      <c r="D114" s="200">
        <f t="shared" ref="D114:L114" si="101">D115</f>
        <v>19</v>
      </c>
      <c r="E114" s="200">
        <f t="shared" si="101"/>
        <v>0</v>
      </c>
      <c r="F114" s="200">
        <f t="shared" si="101"/>
        <v>0</v>
      </c>
      <c r="G114" s="200">
        <f t="shared" si="101"/>
        <v>0</v>
      </c>
      <c r="H114" s="200">
        <f t="shared" si="101"/>
        <v>0</v>
      </c>
      <c r="I114" s="200">
        <f t="shared" si="101"/>
        <v>19</v>
      </c>
      <c r="J114" s="200">
        <f t="shared" si="101"/>
        <v>19</v>
      </c>
      <c r="K114" s="200">
        <f t="shared" si="101"/>
        <v>0</v>
      </c>
      <c r="L114" s="200">
        <f t="shared" si="101"/>
        <v>0</v>
      </c>
      <c r="M114" s="211"/>
      <c r="N114" s="176">
        <f t="shared" si="61"/>
        <v>19</v>
      </c>
    </row>
    <row r="115" ht="24" customHeight="1" spans="1:14">
      <c r="A115" s="202"/>
      <c r="B115" s="203"/>
      <c r="C115" s="203" t="s">
        <v>445</v>
      </c>
      <c r="D115" s="200">
        <f t="shared" ref="D115:D120" si="102">E115+I115</f>
        <v>19</v>
      </c>
      <c r="E115" s="204">
        <f t="shared" ref="E115:E120" si="103">SUM(F115:H115)</f>
        <v>0</v>
      </c>
      <c r="F115" s="205"/>
      <c r="G115" s="205"/>
      <c r="H115" s="205"/>
      <c r="I115" s="204">
        <f t="shared" ref="I115:I120" si="104">SUM(J115:L115)</f>
        <v>19</v>
      </c>
      <c r="J115" s="212">
        <v>19</v>
      </c>
      <c r="K115" s="205"/>
      <c r="L115" s="205"/>
      <c r="M115" s="213" t="s">
        <v>452</v>
      </c>
      <c r="N115" s="176">
        <f t="shared" si="61"/>
        <v>19</v>
      </c>
    </row>
    <row r="116" ht="24" customHeight="1" spans="1:14">
      <c r="A116" s="198" t="s">
        <v>453</v>
      </c>
      <c r="B116" s="199" t="s">
        <v>454</v>
      </c>
      <c r="C116" s="199"/>
      <c r="D116" s="200">
        <f t="shared" ref="D116:L116" si="105">D117</f>
        <v>120</v>
      </c>
      <c r="E116" s="200">
        <f t="shared" si="105"/>
        <v>0</v>
      </c>
      <c r="F116" s="200">
        <f t="shared" si="105"/>
        <v>0</v>
      </c>
      <c r="G116" s="200">
        <f t="shared" si="105"/>
        <v>0</v>
      </c>
      <c r="H116" s="200">
        <f t="shared" si="105"/>
        <v>0</v>
      </c>
      <c r="I116" s="200">
        <f t="shared" si="105"/>
        <v>120</v>
      </c>
      <c r="J116" s="200">
        <f t="shared" si="105"/>
        <v>120</v>
      </c>
      <c r="K116" s="200">
        <f t="shared" si="105"/>
        <v>0</v>
      </c>
      <c r="L116" s="200">
        <f t="shared" si="105"/>
        <v>0</v>
      </c>
      <c r="M116" s="211"/>
      <c r="N116" s="176">
        <f t="shared" si="61"/>
        <v>120</v>
      </c>
    </row>
    <row r="117" ht="30" customHeight="1" spans="1:14">
      <c r="A117" s="202"/>
      <c r="B117" s="203"/>
      <c r="C117" s="203" t="s">
        <v>445</v>
      </c>
      <c r="D117" s="200">
        <f t="shared" si="102"/>
        <v>120</v>
      </c>
      <c r="E117" s="204">
        <f t="shared" si="103"/>
        <v>0</v>
      </c>
      <c r="F117" s="205"/>
      <c r="G117" s="205"/>
      <c r="H117" s="205"/>
      <c r="I117" s="204">
        <f t="shared" si="104"/>
        <v>120</v>
      </c>
      <c r="J117" s="212">
        <v>120</v>
      </c>
      <c r="K117" s="205"/>
      <c r="L117" s="205"/>
      <c r="M117" s="213" t="s">
        <v>455</v>
      </c>
      <c r="N117" s="176">
        <f t="shared" si="61"/>
        <v>120</v>
      </c>
    </row>
    <row r="118" ht="24" customHeight="1" spans="1:14">
      <c r="A118" s="198" t="s">
        <v>456</v>
      </c>
      <c r="B118" s="199" t="s">
        <v>457</v>
      </c>
      <c r="C118" s="199"/>
      <c r="D118" s="200">
        <f t="shared" ref="D118:L118" si="106">D119+D121+D123</f>
        <v>595.112465</v>
      </c>
      <c r="E118" s="200">
        <f t="shared" si="106"/>
        <v>422.162465</v>
      </c>
      <c r="F118" s="200">
        <f t="shared" si="106"/>
        <v>334.739425</v>
      </c>
      <c r="G118" s="200">
        <f t="shared" si="106"/>
        <v>39.892</v>
      </c>
      <c r="H118" s="200">
        <f t="shared" si="106"/>
        <v>47.53104</v>
      </c>
      <c r="I118" s="200">
        <f t="shared" si="106"/>
        <v>172.95</v>
      </c>
      <c r="J118" s="200">
        <f t="shared" si="106"/>
        <v>164.95</v>
      </c>
      <c r="K118" s="200">
        <f t="shared" si="106"/>
        <v>8</v>
      </c>
      <c r="L118" s="200">
        <f t="shared" si="106"/>
        <v>0</v>
      </c>
      <c r="M118" s="211"/>
      <c r="N118" s="176">
        <f t="shared" si="61"/>
        <v>587.112465</v>
      </c>
    </row>
    <row r="119" ht="24" customHeight="1" spans="1:14">
      <c r="A119" s="198" t="s">
        <v>458</v>
      </c>
      <c r="B119" s="199" t="s">
        <v>295</v>
      </c>
      <c r="C119" s="199"/>
      <c r="D119" s="200">
        <f t="shared" ref="D119:L119" si="107">D120</f>
        <v>462.456075</v>
      </c>
      <c r="E119" s="200">
        <f t="shared" si="107"/>
        <v>370.616075</v>
      </c>
      <c r="F119" s="200">
        <f t="shared" si="107"/>
        <v>292.397395</v>
      </c>
      <c r="G119" s="200">
        <f t="shared" si="107"/>
        <v>34.768</v>
      </c>
      <c r="H119" s="200">
        <f t="shared" si="107"/>
        <v>43.45068</v>
      </c>
      <c r="I119" s="200">
        <f t="shared" si="107"/>
        <v>91.84</v>
      </c>
      <c r="J119" s="200">
        <f t="shared" si="107"/>
        <v>91.84</v>
      </c>
      <c r="K119" s="200">
        <f t="shared" si="107"/>
        <v>0</v>
      </c>
      <c r="L119" s="200">
        <f t="shared" si="107"/>
        <v>0</v>
      </c>
      <c r="M119" s="211"/>
      <c r="N119" s="176">
        <f t="shared" si="61"/>
        <v>462.456075</v>
      </c>
    </row>
    <row r="120" ht="119" customHeight="1" spans="1:14">
      <c r="A120" s="202"/>
      <c r="B120" s="203"/>
      <c r="C120" s="203" t="s">
        <v>459</v>
      </c>
      <c r="D120" s="200">
        <f t="shared" si="102"/>
        <v>462.456075</v>
      </c>
      <c r="E120" s="204">
        <f t="shared" si="103"/>
        <v>370.616075</v>
      </c>
      <c r="F120" s="205">
        <v>292.397395</v>
      </c>
      <c r="G120" s="205">
        <v>34.768</v>
      </c>
      <c r="H120" s="205">
        <v>43.45068</v>
      </c>
      <c r="I120" s="204">
        <f t="shared" si="104"/>
        <v>91.84</v>
      </c>
      <c r="J120" s="212">
        <v>91.84</v>
      </c>
      <c r="K120" s="205"/>
      <c r="L120" s="205"/>
      <c r="M120" s="213" t="s">
        <v>460</v>
      </c>
      <c r="N120" s="176">
        <f t="shared" si="61"/>
        <v>462.456075</v>
      </c>
    </row>
    <row r="121" ht="26.25" customHeight="1" spans="1:14">
      <c r="A121" s="198" t="s">
        <v>461</v>
      </c>
      <c r="B121" s="199" t="s">
        <v>462</v>
      </c>
      <c r="C121" s="199"/>
      <c r="D121" s="200">
        <f t="shared" ref="D121:L121" si="108">D122</f>
        <v>103.85639</v>
      </c>
      <c r="E121" s="200">
        <f t="shared" si="108"/>
        <v>51.54639</v>
      </c>
      <c r="F121" s="200">
        <f t="shared" si="108"/>
        <v>42.34203</v>
      </c>
      <c r="G121" s="200">
        <f t="shared" si="108"/>
        <v>5.124</v>
      </c>
      <c r="H121" s="200">
        <f t="shared" si="108"/>
        <v>4.08036</v>
      </c>
      <c r="I121" s="200">
        <f t="shared" si="108"/>
        <v>52.31</v>
      </c>
      <c r="J121" s="200">
        <f t="shared" si="108"/>
        <v>44.31</v>
      </c>
      <c r="K121" s="200">
        <f t="shared" si="108"/>
        <v>8</v>
      </c>
      <c r="L121" s="200">
        <f t="shared" si="108"/>
        <v>0</v>
      </c>
      <c r="M121" s="211"/>
      <c r="N121" s="176">
        <f t="shared" si="61"/>
        <v>95.85639</v>
      </c>
    </row>
    <row r="122" ht="72" customHeight="1" spans="1:14">
      <c r="A122" s="202"/>
      <c r="B122" s="203"/>
      <c r="C122" s="203" t="s">
        <v>463</v>
      </c>
      <c r="D122" s="200">
        <f t="shared" ref="D122:D127" si="109">E122+I122</f>
        <v>103.85639</v>
      </c>
      <c r="E122" s="204">
        <f t="shared" ref="E122:E127" si="110">SUM(F122:H122)</f>
        <v>51.54639</v>
      </c>
      <c r="F122" s="205">
        <v>42.34203</v>
      </c>
      <c r="G122" s="205">
        <v>5.124</v>
      </c>
      <c r="H122" s="205">
        <v>4.08036</v>
      </c>
      <c r="I122" s="204">
        <f t="shared" ref="I122:I127" si="111">SUM(J122:L122)</f>
        <v>52.31</v>
      </c>
      <c r="J122" s="212">
        <v>44.31</v>
      </c>
      <c r="K122" s="205">
        <v>8</v>
      </c>
      <c r="L122" s="205"/>
      <c r="M122" s="213" t="s">
        <v>464</v>
      </c>
      <c r="N122" s="176">
        <f t="shared" si="61"/>
        <v>95.85639</v>
      </c>
    </row>
    <row r="123" ht="25" customHeight="1" spans="1:14">
      <c r="A123" s="198" t="s">
        <v>465</v>
      </c>
      <c r="B123" s="199" t="s">
        <v>466</v>
      </c>
      <c r="C123" s="199"/>
      <c r="D123" s="200">
        <f t="shared" ref="D123:L123" si="112">D124</f>
        <v>28.8</v>
      </c>
      <c r="E123" s="200">
        <f t="shared" si="112"/>
        <v>0</v>
      </c>
      <c r="F123" s="200">
        <f t="shared" si="112"/>
        <v>0</v>
      </c>
      <c r="G123" s="200">
        <f t="shared" si="112"/>
        <v>0</v>
      </c>
      <c r="H123" s="200">
        <f t="shared" si="112"/>
        <v>0</v>
      </c>
      <c r="I123" s="200">
        <f t="shared" si="112"/>
        <v>28.8</v>
      </c>
      <c r="J123" s="200">
        <f t="shared" si="112"/>
        <v>28.8</v>
      </c>
      <c r="K123" s="200">
        <f t="shared" si="112"/>
        <v>0</v>
      </c>
      <c r="L123" s="200">
        <f t="shared" si="112"/>
        <v>0</v>
      </c>
      <c r="M123" s="211"/>
      <c r="N123" s="176">
        <f t="shared" si="61"/>
        <v>28.8</v>
      </c>
    </row>
    <row r="124" ht="28" customHeight="1" spans="1:14">
      <c r="A124" s="202"/>
      <c r="B124" s="203"/>
      <c r="C124" s="203" t="s">
        <v>459</v>
      </c>
      <c r="D124" s="200">
        <f t="shared" si="109"/>
        <v>28.8</v>
      </c>
      <c r="E124" s="204">
        <f t="shared" si="110"/>
        <v>0</v>
      </c>
      <c r="F124" s="205"/>
      <c r="G124" s="205"/>
      <c r="H124" s="205"/>
      <c r="I124" s="204">
        <f t="shared" si="111"/>
        <v>28.8</v>
      </c>
      <c r="J124" s="212">
        <v>28.8</v>
      </c>
      <c r="K124" s="205"/>
      <c r="L124" s="205"/>
      <c r="M124" s="213" t="s">
        <v>467</v>
      </c>
      <c r="N124" s="176">
        <f t="shared" si="61"/>
        <v>28.8</v>
      </c>
    </row>
    <row r="125" ht="24" customHeight="1" spans="1:14">
      <c r="A125" s="198" t="s">
        <v>468</v>
      </c>
      <c r="B125" s="199" t="s">
        <v>469</v>
      </c>
      <c r="C125" s="199"/>
      <c r="D125" s="200">
        <f t="shared" ref="D125:L125" si="113">D126+D128+D130</f>
        <v>172.924915</v>
      </c>
      <c r="E125" s="200">
        <f t="shared" si="113"/>
        <v>131.494915</v>
      </c>
      <c r="F125" s="200">
        <f t="shared" si="113"/>
        <v>105.764495</v>
      </c>
      <c r="G125" s="200">
        <f t="shared" si="113"/>
        <v>14.866</v>
      </c>
      <c r="H125" s="200">
        <f t="shared" si="113"/>
        <v>10.86442</v>
      </c>
      <c r="I125" s="200">
        <f t="shared" si="113"/>
        <v>41.43</v>
      </c>
      <c r="J125" s="200">
        <f t="shared" si="113"/>
        <v>37.43</v>
      </c>
      <c r="K125" s="200">
        <f t="shared" si="113"/>
        <v>4</v>
      </c>
      <c r="L125" s="200">
        <f t="shared" si="113"/>
        <v>0</v>
      </c>
      <c r="M125" s="211"/>
      <c r="N125" s="176">
        <f t="shared" si="61"/>
        <v>168.924915</v>
      </c>
    </row>
    <row r="126" ht="24" customHeight="1" spans="1:14">
      <c r="A126" s="198" t="s">
        <v>470</v>
      </c>
      <c r="B126" s="199" t="s">
        <v>295</v>
      </c>
      <c r="C126" s="199"/>
      <c r="D126" s="200">
        <f t="shared" ref="D126:L126" si="114">D127</f>
        <v>118.460078</v>
      </c>
      <c r="E126" s="200">
        <f t="shared" si="114"/>
        <v>88.730078</v>
      </c>
      <c r="F126" s="200">
        <f t="shared" si="114"/>
        <v>68.763658</v>
      </c>
      <c r="G126" s="200">
        <f t="shared" si="114"/>
        <v>9.702</v>
      </c>
      <c r="H126" s="200">
        <f t="shared" si="114"/>
        <v>10.26442</v>
      </c>
      <c r="I126" s="200">
        <f t="shared" si="114"/>
        <v>29.73</v>
      </c>
      <c r="J126" s="200">
        <f t="shared" si="114"/>
        <v>29.73</v>
      </c>
      <c r="K126" s="200">
        <f t="shared" si="114"/>
        <v>0</v>
      </c>
      <c r="L126" s="200">
        <f t="shared" si="114"/>
        <v>0</v>
      </c>
      <c r="M126" s="211"/>
      <c r="N126" s="176">
        <f t="shared" si="61"/>
        <v>118.460078</v>
      </c>
    </row>
    <row r="127" ht="57" customHeight="1" spans="1:14">
      <c r="A127" s="202"/>
      <c r="B127" s="203"/>
      <c r="C127" s="203" t="s">
        <v>471</v>
      </c>
      <c r="D127" s="200">
        <f t="shared" si="109"/>
        <v>118.460078</v>
      </c>
      <c r="E127" s="204">
        <f t="shared" si="110"/>
        <v>88.730078</v>
      </c>
      <c r="F127" s="205">
        <v>68.763658</v>
      </c>
      <c r="G127" s="205">
        <v>9.702</v>
      </c>
      <c r="H127" s="205">
        <v>10.26442</v>
      </c>
      <c r="I127" s="204">
        <f t="shared" si="111"/>
        <v>29.73</v>
      </c>
      <c r="J127" s="212">
        <v>29.73</v>
      </c>
      <c r="K127" s="205"/>
      <c r="L127" s="205"/>
      <c r="M127" s="213" t="s">
        <v>472</v>
      </c>
      <c r="N127" s="176">
        <f t="shared" si="61"/>
        <v>118.460078</v>
      </c>
    </row>
    <row r="128" ht="21" customHeight="1" spans="1:14">
      <c r="A128" s="198" t="s">
        <v>473</v>
      </c>
      <c r="B128" s="199" t="s">
        <v>369</v>
      </c>
      <c r="C128" s="199"/>
      <c r="D128" s="200">
        <f t="shared" ref="D128:L128" si="115">D129</f>
        <v>45.464837</v>
      </c>
      <c r="E128" s="200">
        <f t="shared" si="115"/>
        <v>42.764837</v>
      </c>
      <c r="F128" s="200">
        <f t="shared" si="115"/>
        <v>37.000837</v>
      </c>
      <c r="G128" s="200">
        <f t="shared" si="115"/>
        <v>5.164</v>
      </c>
      <c r="H128" s="200">
        <f t="shared" si="115"/>
        <v>0.6</v>
      </c>
      <c r="I128" s="200">
        <f t="shared" si="115"/>
        <v>2.7</v>
      </c>
      <c r="J128" s="200">
        <f t="shared" si="115"/>
        <v>2.7</v>
      </c>
      <c r="K128" s="200">
        <f t="shared" si="115"/>
        <v>0</v>
      </c>
      <c r="L128" s="200">
        <f t="shared" si="115"/>
        <v>0</v>
      </c>
      <c r="M128" s="211"/>
      <c r="N128" s="176">
        <f t="shared" si="61"/>
        <v>45.464837</v>
      </c>
    </row>
    <row r="129" ht="32" customHeight="1" spans="1:14">
      <c r="A129" s="202"/>
      <c r="B129" s="203"/>
      <c r="C129" s="203" t="s">
        <v>474</v>
      </c>
      <c r="D129" s="200">
        <f t="shared" ref="D129:D134" si="116">E129+I129</f>
        <v>45.464837</v>
      </c>
      <c r="E129" s="204">
        <f t="shared" ref="E129:E134" si="117">SUM(F129:H129)</f>
        <v>42.764837</v>
      </c>
      <c r="F129" s="205">
        <v>37.000837</v>
      </c>
      <c r="G129" s="205">
        <v>5.164</v>
      </c>
      <c r="H129" s="205">
        <v>0.6</v>
      </c>
      <c r="I129" s="204">
        <f t="shared" ref="I129:I134" si="118">SUM(J129:L129)</f>
        <v>2.7</v>
      </c>
      <c r="J129" s="212">
        <v>2.7</v>
      </c>
      <c r="K129" s="205"/>
      <c r="L129" s="205"/>
      <c r="M129" s="213" t="s">
        <v>475</v>
      </c>
      <c r="N129" s="176">
        <f t="shared" si="61"/>
        <v>45.464837</v>
      </c>
    </row>
    <row r="130" ht="21" customHeight="1" spans="1:14">
      <c r="A130" s="198" t="s">
        <v>476</v>
      </c>
      <c r="B130" s="199" t="s">
        <v>477</v>
      </c>
      <c r="C130" s="199"/>
      <c r="D130" s="200">
        <f t="shared" ref="D130:L130" si="119">D131</f>
        <v>9</v>
      </c>
      <c r="E130" s="200">
        <f t="shared" si="119"/>
        <v>0</v>
      </c>
      <c r="F130" s="200">
        <f t="shared" si="119"/>
        <v>0</v>
      </c>
      <c r="G130" s="200">
        <f t="shared" si="119"/>
        <v>0</v>
      </c>
      <c r="H130" s="200">
        <f t="shared" si="119"/>
        <v>0</v>
      </c>
      <c r="I130" s="200">
        <f t="shared" si="119"/>
        <v>9</v>
      </c>
      <c r="J130" s="200">
        <f t="shared" si="119"/>
        <v>5</v>
      </c>
      <c r="K130" s="200">
        <f t="shared" si="119"/>
        <v>4</v>
      </c>
      <c r="L130" s="200">
        <f t="shared" si="119"/>
        <v>0</v>
      </c>
      <c r="M130" s="211"/>
      <c r="N130" s="176">
        <f t="shared" si="61"/>
        <v>5</v>
      </c>
    </row>
    <row r="131" ht="26.25" customHeight="1" spans="1:14">
      <c r="A131" s="202"/>
      <c r="B131" s="203"/>
      <c r="C131" s="203" t="s">
        <v>471</v>
      </c>
      <c r="D131" s="200">
        <f t="shared" si="116"/>
        <v>9</v>
      </c>
      <c r="E131" s="204">
        <f t="shared" si="117"/>
        <v>0</v>
      </c>
      <c r="F131" s="205"/>
      <c r="G131" s="205"/>
      <c r="H131" s="205"/>
      <c r="I131" s="204">
        <f t="shared" si="118"/>
        <v>9</v>
      </c>
      <c r="J131" s="212">
        <v>5</v>
      </c>
      <c r="K131" s="205">
        <v>4</v>
      </c>
      <c r="L131" s="205"/>
      <c r="M131" s="213" t="s">
        <v>478</v>
      </c>
      <c r="N131" s="176">
        <f t="shared" si="61"/>
        <v>5</v>
      </c>
    </row>
    <row r="132" ht="24" customHeight="1" spans="1:14">
      <c r="A132" s="198" t="s">
        <v>479</v>
      </c>
      <c r="B132" s="199" t="s">
        <v>480</v>
      </c>
      <c r="C132" s="199"/>
      <c r="D132" s="200">
        <f t="shared" ref="D132:L132" si="120">D133+D135</f>
        <v>4.32</v>
      </c>
      <c r="E132" s="200">
        <f t="shared" si="120"/>
        <v>0</v>
      </c>
      <c r="F132" s="200">
        <f t="shared" si="120"/>
        <v>0</v>
      </c>
      <c r="G132" s="200">
        <f t="shared" si="120"/>
        <v>0</v>
      </c>
      <c r="H132" s="200">
        <f t="shared" si="120"/>
        <v>0</v>
      </c>
      <c r="I132" s="200">
        <f t="shared" si="120"/>
        <v>4.32</v>
      </c>
      <c r="J132" s="200">
        <f t="shared" si="120"/>
        <v>4.32</v>
      </c>
      <c r="K132" s="200">
        <f t="shared" si="120"/>
        <v>0</v>
      </c>
      <c r="L132" s="200">
        <f t="shared" si="120"/>
        <v>0</v>
      </c>
      <c r="M132" s="211"/>
      <c r="N132" s="176">
        <f t="shared" si="61"/>
        <v>4.32</v>
      </c>
    </row>
    <row r="133" ht="24" customHeight="1" spans="1:14">
      <c r="A133" s="198" t="s">
        <v>481</v>
      </c>
      <c r="B133" s="199" t="s">
        <v>295</v>
      </c>
      <c r="C133" s="199"/>
      <c r="D133" s="200">
        <f t="shared" ref="D133:L133" si="121">D134</f>
        <v>2.88</v>
      </c>
      <c r="E133" s="200">
        <f t="shared" si="121"/>
        <v>0</v>
      </c>
      <c r="F133" s="200">
        <f t="shared" si="121"/>
        <v>0</v>
      </c>
      <c r="G133" s="200">
        <f t="shared" si="121"/>
        <v>0</v>
      </c>
      <c r="H133" s="200">
        <f t="shared" si="121"/>
        <v>0</v>
      </c>
      <c r="I133" s="200">
        <f t="shared" si="121"/>
        <v>2.88</v>
      </c>
      <c r="J133" s="200">
        <f t="shared" si="121"/>
        <v>2.88</v>
      </c>
      <c r="K133" s="200">
        <f t="shared" si="121"/>
        <v>0</v>
      </c>
      <c r="L133" s="200">
        <f t="shared" si="121"/>
        <v>0</v>
      </c>
      <c r="M133" s="211"/>
      <c r="N133" s="176">
        <f t="shared" si="61"/>
        <v>2.88</v>
      </c>
    </row>
    <row r="134" ht="24" customHeight="1" spans="1:14">
      <c r="A134" s="202"/>
      <c r="B134" s="203"/>
      <c r="C134" s="203" t="s">
        <v>482</v>
      </c>
      <c r="D134" s="200">
        <f t="shared" si="116"/>
        <v>2.88</v>
      </c>
      <c r="E134" s="204">
        <f t="shared" si="117"/>
        <v>0</v>
      </c>
      <c r="F134" s="205"/>
      <c r="G134" s="205"/>
      <c r="H134" s="205"/>
      <c r="I134" s="204">
        <f t="shared" si="118"/>
        <v>2.88</v>
      </c>
      <c r="J134" s="212">
        <v>2.88</v>
      </c>
      <c r="K134" s="205"/>
      <c r="L134" s="205"/>
      <c r="M134" s="213" t="s">
        <v>483</v>
      </c>
      <c r="N134" s="176">
        <f t="shared" si="61"/>
        <v>2.88</v>
      </c>
    </row>
    <row r="135" ht="24" customHeight="1" spans="1:14">
      <c r="A135" s="198" t="s">
        <v>484</v>
      </c>
      <c r="B135" s="199" t="s">
        <v>485</v>
      </c>
      <c r="C135" s="199"/>
      <c r="D135" s="200">
        <f t="shared" ref="D135:L135" si="122">D136</f>
        <v>1.44</v>
      </c>
      <c r="E135" s="200">
        <f t="shared" si="122"/>
        <v>0</v>
      </c>
      <c r="F135" s="200">
        <f t="shared" si="122"/>
        <v>0</v>
      </c>
      <c r="G135" s="200">
        <f t="shared" si="122"/>
        <v>0</v>
      </c>
      <c r="H135" s="200">
        <f t="shared" si="122"/>
        <v>0</v>
      </c>
      <c r="I135" s="200">
        <f t="shared" si="122"/>
        <v>1.44</v>
      </c>
      <c r="J135" s="200">
        <f t="shared" si="122"/>
        <v>1.44</v>
      </c>
      <c r="K135" s="200">
        <f t="shared" si="122"/>
        <v>0</v>
      </c>
      <c r="L135" s="200">
        <f t="shared" si="122"/>
        <v>0</v>
      </c>
      <c r="M135" s="211"/>
      <c r="N135" s="176">
        <f t="shared" si="61"/>
        <v>1.44</v>
      </c>
    </row>
    <row r="136" ht="24" customHeight="1" spans="1:14">
      <c r="A136" s="202"/>
      <c r="B136" s="203"/>
      <c r="C136" s="203" t="s">
        <v>482</v>
      </c>
      <c r="D136" s="200">
        <f t="shared" ref="D136:D141" si="123">E136+I136</f>
        <v>1.44</v>
      </c>
      <c r="E136" s="204">
        <f t="shared" ref="E136:E141" si="124">SUM(F136:H136)</f>
        <v>0</v>
      </c>
      <c r="F136" s="205"/>
      <c r="G136" s="205"/>
      <c r="H136" s="205"/>
      <c r="I136" s="204">
        <f t="shared" ref="I136:I141" si="125">SUM(J136:L136)</f>
        <v>1.44</v>
      </c>
      <c r="J136" s="212">
        <v>1.44</v>
      </c>
      <c r="K136" s="205"/>
      <c r="L136" s="205"/>
      <c r="M136" s="213" t="s">
        <v>486</v>
      </c>
      <c r="N136" s="176">
        <f t="shared" si="61"/>
        <v>1.44</v>
      </c>
    </row>
    <row r="137" ht="24" customHeight="1" spans="1:14">
      <c r="A137" s="198" t="s">
        <v>487</v>
      </c>
      <c r="B137" s="199" t="s">
        <v>488</v>
      </c>
      <c r="C137" s="199"/>
      <c r="D137" s="200">
        <f t="shared" ref="D137:L137" si="126">D138+D140</f>
        <v>106.775763</v>
      </c>
      <c r="E137" s="200">
        <f t="shared" si="126"/>
        <v>80.775763</v>
      </c>
      <c r="F137" s="200">
        <f t="shared" si="126"/>
        <v>65.475103</v>
      </c>
      <c r="G137" s="200">
        <f t="shared" si="126"/>
        <v>8.856</v>
      </c>
      <c r="H137" s="200">
        <f t="shared" si="126"/>
        <v>6.44466</v>
      </c>
      <c r="I137" s="200">
        <f t="shared" si="126"/>
        <v>26</v>
      </c>
      <c r="J137" s="200">
        <f t="shared" si="126"/>
        <v>26</v>
      </c>
      <c r="K137" s="200">
        <f t="shared" si="126"/>
        <v>0</v>
      </c>
      <c r="L137" s="200">
        <f t="shared" si="126"/>
        <v>0</v>
      </c>
      <c r="M137" s="211"/>
      <c r="N137" s="176">
        <f t="shared" ref="N137:N200" si="127">J137+E137</f>
        <v>106.775763</v>
      </c>
    </row>
    <row r="138" ht="24" customHeight="1" spans="1:14">
      <c r="A138" s="198" t="s">
        <v>489</v>
      </c>
      <c r="B138" s="199" t="s">
        <v>295</v>
      </c>
      <c r="C138" s="199"/>
      <c r="D138" s="200">
        <f t="shared" ref="D138:L138" si="128">D139</f>
        <v>80.775763</v>
      </c>
      <c r="E138" s="200">
        <f t="shared" si="128"/>
        <v>80.775763</v>
      </c>
      <c r="F138" s="200">
        <f t="shared" si="128"/>
        <v>65.475103</v>
      </c>
      <c r="G138" s="200">
        <f t="shared" si="128"/>
        <v>8.856</v>
      </c>
      <c r="H138" s="200">
        <f t="shared" si="128"/>
        <v>6.44466</v>
      </c>
      <c r="I138" s="200">
        <f t="shared" si="128"/>
        <v>0</v>
      </c>
      <c r="J138" s="200">
        <f t="shared" si="128"/>
        <v>0</v>
      </c>
      <c r="K138" s="200">
        <f t="shared" si="128"/>
        <v>0</v>
      </c>
      <c r="L138" s="200">
        <f t="shared" si="128"/>
        <v>0</v>
      </c>
      <c r="M138" s="211"/>
      <c r="N138" s="176">
        <f t="shared" si="127"/>
        <v>80.775763</v>
      </c>
    </row>
    <row r="139" ht="24" customHeight="1" spans="1:14">
      <c r="A139" s="202"/>
      <c r="B139" s="203"/>
      <c r="C139" s="203" t="s">
        <v>490</v>
      </c>
      <c r="D139" s="200">
        <f t="shared" si="123"/>
        <v>80.775763</v>
      </c>
      <c r="E139" s="204">
        <f t="shared" si="124"/>
        <v>80.775763</v>
      </c>
      <c r="F139" s="205">
        <v>65.475103</v>
      </c>
      <c r="G139" s="205">
        <v>8.856</v>
      </c>
      <c r="H139" s="205">
        <v>6.44466</v>
      </c>
      <c r="I139" s="204">
        <f t="shared" si="125"/>
        <v>0</v>
      </c>
      <c r="J139" s="212"/>
      <c r="K139" s="205"/>
      <c r="L139" s="205"/>
      <c r="M139" s="213"/>
      <c r="N139" s="176">
        <f t="shared" si="127"/>
        <v>80.775763</v>
      </c>
    </row>
    <row r="140" ht="24" customHeight="1" spans="1:14">
      <c r="A140" s="198" t="s">
        <v>491</v>
      </c>
      <c r="B140" s="199" t="s">
        <v>490</v>
      </c>
      <c r="C140" s="199"/>
      <c r="D140" s="200">
        <f t="shared" ref="D140:L140" si="129">D141</f>
        <v>26</v>
      </c>
      <c r="E140" s="200">
        <f t="shared" si="129"/>
        <v>0</v>
      </c>
      <c r="F140" s="200">
        <f t="shared" si="129"/>
        <v>0</v>
      </c>
      <c r="G140" s="200">
        <f t="shared" si="129"/>
        <v>0</v>
      </c>
      <c r="H140" s="200">
        <f t="shared" si="129"/>
        <v>0</v>
      </c>
      <c r="I140" s="200">
        <f t="shared" si="129"/>
        <v>26</v>
      </c>
      <c r="J140" s="200">
        <f t="shared" si="129"/>
        <v>26</v>
      </c>
      <c r="K140" s="200">
        <f t="shared" si="129"/>
        <v>0</v>
      </c>
      <c r="L140" s="200">
        <f t="shared" si="129"/>
        <v>0</v>
      </c>
      <c r="M140" s="211"/>
      <c r="N140" s="176">
        <f t="shared" si="127"/>
        <v>26</v>
      </c>
    </row>
    <row r="141" ht="43" customHeight="1" spans="1:14">
      <c r="A141" s="202"/>
      <c r="B141" s="203"/>
      <c r="C141" s="203" t="s">
        <v>490</v>
      </c>
      <c r="D141" s="200">
        <f t="shared" si="123"/>
        <v>26</v>
      </c>
      <c r="E141" s="204">
        <f t="shared" si="124"/>
        <v>0</v>
      </c>
      <c r="F141" s="205"/>
      <c r="G141" s="205"/>
      <c r="H141" s="205"/>
      <c r="I141" s="204">
        <f t="shared" si="125"/>
        <v>26</v>
      </c>
      <c r="J141" s="212">
        <v>26</v>
      </c>
      <c r="K141" s="205"/>
      <c r="L141" s="205"/>
      <c r="M141" s="213" t="s">
        <v>492</v>
      </c>
      <c r="N141" s="176">
        <f t="shared" si="127"/>
        <v>26</v>
      </c>
    </row>
    <row r="142" ht="26.25" customHeight="1" spans="1:14">
      <c r="A142" s="198" t="s">
        <v>493</v>
      </c>
      <c r="B142" s="199" t="s">
        <v>494</v>
      </c>
      <c r="C142" s="199"/>
      <c r="D142" s="200">
        <f t="shared" ref="D142:L142" si="130">D143</f>
        <v>40.523357</v>
      </c>
      <c r="E142" s="200">
        <f t="shared" si="130"/>
        <v>32.513357</v>
      </c>
      <c r="F142" s="200">
        <f t="shared" si="130"/>
        <v>28.565357</v>
      </c>
      <c r="G142" s="200">
        <f t="shared" si="130"/>
        <v>3.948</v>
      </c>
      <c r="H142" s="200">
        <f t="shared" si="130"/>
        <v>0</v>
      </c>
      <c r="I142" s="200">
        <f t="shared" si="130"/>
        <v>8.01</v>
      </c>
      <c r="J142" s="200">
        <f t="shared" si="130"/>
        <v>8.01</v>
      </c>
      <c r="K142" s="200">
        <f t="shared" si="130"/>
        <v>0</v>
      </c>
      <c r="L142" s="200">
        <f t="shared" si="130"/>
        <v>0</v>
      </c>
      <c r="M142" s="211"/>
      <c r="N142" s="176">
        <f t="shared" si="127"/>
        <v>40.523357</v>
      </c>
    </row>
    <row r="143" ht="22" customHeight="1" spans="1:14">
      <c r="A143" s="198" t="s">
        <v>495</v>
      </c>
      <c r="B143" s="199" t="s">
        <v>295</v>
      </c>
      <c r="C143" s="199"/>
      <c r="D143" s="200">
        <f t="shared" ref="D143:L143" si="131">D144</f>
        <v>40.523357</v>
      </c>
      <c r="E143" s="200">
        <f t="shared" si="131"/>
        <v>32.513357</v>
      </c>
      <c r="F143" s="200">
        <f t="shared" si="131"/>
        <v>28.565357</v>
      </c>
      <c r="G143" s="200">
        <f t="shared" si="131"/>
        <v>3.948</v>
      </c>
      <c r="H143" s="200">
        <f t="shared" si="131"/>
        <v>0</v>
      </c>
      <c r="I143" s="200">
        <f t="shared" si="131"/>
        <v>8.01</v>
      </c>
      <c r="J143" s="200">
        <f t="shared" si="131"/>
        <v>8.01</v>
      </c>
      <c r="K143" s="200">
        <f t="shared" si="131"/>
        <v>0</v>
      </c>
      <c r="L143" s="200">
        <f t="shared" si="131"/>
        <v>0</v>
      </c>
      <c r="M143" s="211"/>
      <c r="N143" s="176">
        <f t="shared" si="127"/>
        <v>40.523357</v>
      </c>
    </row>
    <row r="144" ht="54" customHeight="1" spans="1:14">
      <c r="A144" s="202"/>
      <c r="B144" s="203"/>
      <c r="C144" s="203" t="s">
        <v>496</v>
      </c>
      <c r="D144" s="200">
        <f t="shared" ref="D144:D148" si="132">E144+I144</f>
        <v>40.523357</v>
      </c>
      <c r="E144" s="204">
        <f t="shared" ref="E144:E148" si="133">SUM(F144:H144)</f>
        <v>32.513357</v>
      </c>
      <c r="F144" s="205">
        <v>28.565357</v>
      </c>
      <c r="G144" s="205">
        <v>3.948</v>
      </c>
      <c r="H144" s="205"/>
      <c r="I144" s="204">
        <f t="shared" ref="I144:I148" si="134">SUM(J144:L144)</f>
        <v>8.01</v>
      </c>
      <c r="J144" s="212">
        <v>8.01</v>
      </c>
      <c r="K144" s="205"/>
      <c r="L144" s="205"/>
      <c r="M144" s="213" t="s">
        <v>497</v>
      </c>
      <c r="N144" s="176">
        <f t="shared" si="127"/>
        <v>40.523357</v>
      </c>
    </row>
    <row r="145" ht="23" customHeight="1" spans="1:14">
      <c r="A145" s="198" t="s">
        <v>498</v>
      </c>
      <c r="B145" s="199" t="s">
        <v>499</v>
      </c>
      <c r="C145" s="199"/>
      <c r="D145" s="200">
        <f t="shared" ref="D145:L145" si="135">SUM(D146+D149)</f>
        <v>1563.452608</v>
      </c>
      <c r="E145" s="200">
        <f t="shared" si="135"/>
        <v>1454.862608</v>
      </c>
      <c r="F145" s="200">
        <f t="shared" si="135"/>
        <v>69.236097</v>
      </c>
      <c r="G145" s="200">
        <f t="shared" si="135"/>
        <v>1385.026511</v>
      </c>
      <c r="H145" s="200">
        <f t="shared" si="135"/>
        <v>0.6</v>
      </c>
      <c r="I145" s="200">
        <f t="shared" si="135"/>
        <v>108.59</v>
      </c>
      <c r="J145" s="200">
        <f t="shared" si="135"/>
        <v>87.4</v>
      </c>
      <c r="K145" s="200">
        <f t="shared" si="135"/>
        <v>21.19</v>
      </c>
      <c r="L145" s="200">
        <f t="shared" si="135"/>
        <v>0</v>
      </c>
      <c r="M145" s="211"/>
      <c r="N145" s="176">
        <f t="shared" si="127"/>
        <v>1542.262608</v>
      </c>
    </row>
    <row r="146" ht="23" customHeight="1" spans="1:14">
      <c r="A146" s="198" t="s">
        <v>500</v>
      </c>
      <c r="B146" s="199" t="s">
        <v>295</v>
      </c>
      <c r="C146" s="199"/>
      <c r="D146" s="200">
        <f t="shared" ref="D146:L146" si="136">SUM(D147:D148)</f>
        <v>117.922097</v>
      </c>
      <c r="E146" s="200">
        <f t="shared" si="136"/>
        <v>77.312097</v>
      </c>
      <c r="F146" s="200">
        <f t="shared" si="136"/>
        <v>69.236097</v>
      </c>
      <c r="G146" s="200">
        <f t="shared" si="136"/>
        <v>7.476</v>
      </c>
      <c r="H146" s="200">
        <f t="shared" si="136"/>
        <v>0.6</v>
      </c>
      <c r="I146" s="200">
        <f t="shared" si="136"/>
        <v>40.61</v>
      </c>
      <c r="J146" s="200">
        <f t="shared" si="136"/>
        <v>40.61</v>
      </c>
      <c r="K146" s="200">
        <f t="shared" si="136"/>
        <v>0</v>
      </c>
      <c r="L146" s="200">
        <f t="shared" si="136"/>
        <v>0</v>
      </c>
      <c r="M146" s="211"/>
      <c r="N146" s="176">
        <f t="shared" si="127"/>
        <v>117.922097</v>
      </c>
    </row>
    <row r="147" ht="23" customHeight="1" spans="1:14">
      <c r="A147" s="202"/>
      <c r="B147" s="203"/>
      <c r="C147" s="203" t="s">
        <v>501</v>
      </c>
      <c r="D147" s="200">
        <f t="shared" si="132"/>
        <v>39.029089</v>
      </c>
      <c r="E147" s="204">
        <f t="shared" si="133"/>
        <v>37.269089</v>
      </c>
      <c r="F147" s="205">
        <f>11.487089+23.04+0.15</f>
        <v>34.677089</v>
      </c>
      <c r="G147" s="205">
        <v>2.592</v>
      </c>
      <c r="H147" s="205"/>
      <c r="I147" s="204">
        <f t="shared" si="134"/>
        <v>1.76</v>
      </c>
      <c r="J147" s="212">
        <v>1.76</v>
      </c>
      <c r="K147" s="205"/>
      <c r="L147" s="205"/>
      <c r="M147" s="213" t="s">
        <v>502</v>
      </c>
      <c r="N147" s="176">
        <f t="shared" si="127"/>
        <v>39.029089</v>
      </c>
    </row>
    <row r="148" ht="80" customHeight="1" spans="1:14">
      <c r="A148" s="202"/>
      <c r="B148" s="203"/>
      <c r="C148" s="203" t="s">
        <v>503</v>
      </c>
      <c r="D148" s="200">
        <f t="shared" si="132"/>
        <v>78.893008</v>
      </c>
      <c r="E148" s="204">
        <f t="shared" si="133"/>
        <v>40.043008</v>
      </c>
      <c r="F148" s="205">
        <v>34.559008</v>
      </c>
      <c r="G148" s="205">
        <v>4.884</v>
      </c>
      <c r="H148" s="205">
        <v>0.6</v>
      </c>
      <c r="I148" s="204">
        <f t="shared" si="134"/>
        <v>38.85</v>
      </c>
      <c r="J148" s="212">
        <v>38.85</v>
      </c>
      <c r="K148" s="205"/>
      <c r="L148" s="205"/>
      <c r="M148" s="213" t="s">
        <v>504</v>
      </c>
      <c r="N148" s="176">
        <f t="shared" si="127"/>
        <v>78.893008</v>
      </c>
    </row>
    <row r="149" ht="26.25" customHeight="1" spans="1:14">
      <c r="A149" s="198" t="s">
        <v>505</v>
      </c>
      <c r="B149" s="199" t="s">
        <v>506</v>
      </c>
      <c r="C149" s="199"/>
      <c r="D149" s="200">
        <f t="shared" ref="D149:L149" si="137">SUM(D150:D435)</f>
        <v>1445.530511</v>
      </c>
      <c r="E149" s="200">
        <f t="shared" si="137"/>
        <v>1377.550511</v>
      </c>
      <c r="F149" s="200">
        <f t="shared" si="137"/>
        <v>0</v>
      </c>
      <c r="G149" s="200">
        <f t="shared" si="137"/>
        <v>1377.550511</v>
      </c>
      <c r="H149" s="200">
        <f t="shared" si="137"/>
        <v>0</v>
      </c>
      <c r="I149" s="200">
        <f t="shared" si="137"/>
        <v>67.98</v>
      </c>
      <c r="J149" s="200">
        <f t="shared" si="137"/>
        <v>46.79</v>
      </c>
      <c r="K149" s="200">
        <f t="shared" si="137"/>
        <v>21.19</v>
      </c>
      <c r="L149" s="200">
        <f t="shared" si="137"/>
        <v>0</v>
      </c>
      <c r="M149" s="213" t="s">
        <v>507</v>
      </c>
      <c r="N149" s="176">
        <f t="shared" si="127"/>
        <v>1424.340511</v>
      </c>
    </row>
    <row r="150" ht="80" customHeight="1" spans="1:14">
      <c r="A150" s="202"/>
      <c r="B150" s="203"/>
      <c r="C150" s="203" t="s">
        <v>501</v>
      </c>
      <c r="D150" s="200">
        <f t="shared" ref="D150:D213" si="138">E150+I150</f>
        <v>46.79</v>
      </c>
      <c r="E150" s="204">
        <f t="shared" ref="E150:E213" si="139">SUM(F150:H150)</f>
        <v>0</v>
      </c>
      <c r="F150" s="205"/>
      <c r="G150" s="205"/>
      <c r="H150" s="205"/>
      <c r="I150" s="204">
        <f t="shared" ref="I150:I213" si="140">SUM(J150:L150)</f>
        <v>46.79</v>
      </c>
      <c r="J150" s="212">
        <v>46.79</v>
      </c>
      <c r="K150" s="205"/>
      <c r="L150" s="205"/>
      <c r="M150" s="213" t="s">
        <v>508</v>
      </c>
      <c r="N150" s="176">
        <f t="shared" si="127"/>
        <v>46.79</v>
      </c>
    </row>
    <row r="151" ht="37.05" hidden="1" customHeight="1" spans="1:14">
      <c r="A151" s="202"/>
      <c r="B151" s="203"/>
      <c r="C151" s="203" t="s">
        <v>509</v>
      </c>
      <c r="D151" s="200">
        <f t="shared" si="138"/>
        <v>5.37437</v>
      </c>
      <c r="E151" s="204">
        <f t="shared" si="139"/>
        <v>5.37437</v>
      </c>
      <c r="F151" s="205"/>
      <c r="G151" s="205">
        <v>5.37437</v>
      </c>
      <c r="H151" s="205"/>
      <c r="I151" s="204">
        <f t="shared" si="140"/>
        <v>0</v>
      </c>
      <c r="J151" s="212"/>
      <c r="K151" s="205"/>
      <c r="L151" s="205"/>
      <c r="M151" s="213"/>
      <c r="N151" s="176">
        <f t="shared" si="127"/>
        <v>5.37437</v>
      </c>
    </row>
    <row r="152" ht="37.05" hidden="1" customHeight="1" spans="1:14">
      <c r="A152" s="202"/>
      <c r="B152" s="203"/>
      <c r="C152" s="203" t="s">
        <v>339</v>
      </c>
      <c r="D152" s="200">
        <f t="shared" si="138"/>
        <v>6.174602</v>
      </c>
      <c r="E152" s="204">
        <f t="shared" si="139"/>
        <v>6.174602</v>
      </c>
      <c r="F152" s="205"/>
      <c r="G152" s="205">
        <v>6.174602</v>
      </c>
      <c r="H152" s="205"/>
      <c r="I152" s="204">
        <f t="shared" si="140"/>
        <v>0</v>
      </c>
      <c r="J152" s="212"/>
      <c r="K152" s="205"/>
      <c r="L152" s="205"/>
      <c r="M152" s="213"/>
      <c r="N152" s="176">
        <f t="shared" si="127"/>
        <v>6.174602</v>
      </c>
    </row>
    <row r="153" ht="37.05" hidden="1" customHeight="1" spans="1:14">
      <c r="A153" s="202"/>
      <c r="B153" s="203"/>
      <c r="C153" s="203" t="s">
        <v>296</v>
      </c>
      <c r="D153" s="200">
        <f t="shared" si="138"/>
        <v>7.309688</v>
      </c>
      <c r="E153" s="204">
        <f t="shared" si="139"/>
        <v>7.309688</v>
      </c>
      <c r="F153" s="205"/>
      <c r="G153" s="205">
        <v>7.309688</v>
      </c>
      <c r="H153" s="205"/>
      <c r="I153" s="204">
        <f t="shared" si="140"/>
        <v>0</v>
      </c>
      <c r="J153" s="212"/>
      <c r="K153" s="205"/>
      <c r="L153" s="205"/>
      <c r="M153" s="213"/>
      <c r="N153" s="176">
        <f t="shared" si="127"/>
        <v>7.309688</v>
      </c>
    </row>
    <row r="154" ht="37.05" hidden="1" customHeight="1" spans="1:14">
      <c r="A154" s="202"/>
      <c r="B154" s="203"/>
      <c r="C154" s="203" t="s">
        <v>322</v>
      </c>
      <c r="D154" s="200">
        <f t="shared" si="138"/>
        <v>6.143674</v>
      </c>
      <c r="E154" s="204">
        <f t="shared" si="139"/>
        <v>6.143674</v>
      </c>
      <c r="F154" s="205"/>
      <c r="G154" s="205">
        <v>6.143674</v>
      </c>
      <c r="H154" s="205"/>
      <c r="I154" s="204">
        <f t="shared" si="140"/>
        <v>0</v>
      </c>
      <c r="J154" s="212"/>
      <c r="K154" s="205"/>
      <c r="L154" s="205"/>
      <c r="M154" s="213"/>
      <c r="N154" s="176">
        <f t="shared" si="127"/>
        <v>6.143674</v>
      </c>
    </row>
    <row r="155" ht="37.05" hidden="1" customHeight="1" spans="1:14">
      <c r="A155" s="202"/>
      <c r="B155" s="203"/>
      <c r="C155" s="203" t="s">
        <v>510</v>
      </c>
      <c r="D155" s="200">
        <f t="shared" si="138"/>
        <v>27.850098</v>
      </c>
      <c r="E155" s="204">
        <f t="shared" si="139"/>
        <v>6.660098</v>
      </c>
      <c r="F155" s="205"/>
      <c r="G155" s="205">
        <v>6.660098</v>
      </c>
      <c r="H155" s="205"/>
      <c r="I155" s="204">
        <f t="shared" si="140"/>
        <v>21.19</v>
      </c>
      <c r="J155" s="212"/>
      <c r="K155" s="205">
        <v>21.19</v>
      </c>
      <c r="L155" s="205"/>
      <c r="M155" s="213"/>
      <c r="N155" s="176">
        <f t="shared" si="127"/>
        <v>6.660098</v>
      </c>
    </row>
    <row r="156" ht="37.05" hidden="1" customHeight="1" spans="1:14">
      <c r="A156" s="202"/>
      <c r="B156" s="203"/>
      <c r="C156" s="203" t="s">
        <v>445</v>
      </c>
      <c r="D156" s="200">
        <f t="shared" si="138"/>
        <v>16.467916</v>
      </c>
      <c r="E156" s="204">
        <f t="shared" si="139"/>
        <v>16.467916</v>
      </c>
      <c r="F156" s="205"/>
      <c r="G156" s="205">
        <v>16.467916</v>
      </c>
      <c r="H156" s="205"/>
      <c r="I156" s="204">
        <f t="shared" si="140"/>
        <v>0</v>
      </c>
      <c r="J156" s="212"/>
      <c r="K156" s="205"/>
      <c r="L156" s="205"/>
      <c r="M156" s="213"/>
      <c r="N156" s="176">
        <f t="shared" si="127"/>
        <v>16.467916</v>
      </c>
    </row>
    <row r="157" ht="37.05" hidden="1" customHeight="1" spans="1:14">
      <c r="A157" s="202"/>
      <c r="B157" s="203"/>
      <c r="C157" s="203" t="s">
        <v>482</v>
      </c>
      <c r="D157" s="200">
        <f t="shared" si="138"/>
        <v>1.856794</v>
      </c>
      <c r="E157" s="204">
        <f t="shared" si="139"/>
        <v>1.856794</v>
      </c>
      <c r="F157" s="205"/>
      <c r="G157" s="205">
        <v>1.856794</v>
      </c>
      <c r="H157" s="205"/>
      <c r="I157" s="204">
        <f t="shared" si="140"/>
        <v>0</v>
      </c>
      <c r="J157" s="212"/>
      <c r="K157" s="205"/>
      <c r="L157" s="205"/>
      <c r="M157" s="213"/>
      <c r="N157" s="176">
        <f t="shared" si="127"/>
        <v>1.856794</v>
      </c>
    </row>
    <row r="158" ht="37.05" hidden="1" customHeight="1" spans="1:14">
      <c r="A158" s="202"/>
      <c r="B158" s="203"/>
      <c r="C158" s="203" t="s">
        <v>511</v>
      </c>
      <c r="D158" s="200">
        <f t="shared" si="138"/>
        <v>3.400074</v>
      </c>
      <c r="E158" s="204">
        <f t="shared" si="139"/>
        <v>3.400074</v>
      </c>
      <c r="F158" s="205"/>
      <c r="G158" s="205">
        <v>3.400074</v>
      </c>
      <c r="H158" s="205"/>
      <c r="I158" s="204">
        <f t="shared" si="140"/>
        <v>0</v>
      </c>
      <c r="J158" s="212"/>
      <c r="K158" s="205"/>
      <c r="L158" s="205"/>
      <c r="M158" s="213"/>
      <c r="N158" s="176">
        <f t="shared" si="127"/>
        <v>3.400074</v>
      </c>
    </row>
    <row r="159" ht="37.05" hidden="1" customHeight="1" spans="1:14">
      <c r="A159" s="202"/>
      <c r="B159" s="203"/>
      <c r="C159" s="203" t="s">
        <v>512</v>
      </c>
      <c r="D159" s="200">
        <f t="shared" si="138"/>
        <v>61.619542</v>
      </c>
      <c r="E159" s="204">
        <f t="shared" si="139"/>
        <v>61.619542</v>
      </c>
      <c r="F159" s="205"/>
      <c r="G159" s="205">
        <v>61.619542</v>
      </c>
      <c r="H159" s="205"/>
      <c r="I159" s="204">
        <f t="shared" si="140"/>
        <v>0</v>
      </c>
      <c r="J159" s="212"/>
      <c r="K159" s="205"/>
      <c r="L159" s="205"/>
      <c r="M159" s="213"/>
      <c r="N159" s="176">
        <f t="shared" si="127"/>
        <v>61.619542</v>
      </c>
    </row>
    <row r="160" ht="37.05" hidden="1" customHeight="1" spans="1:14">
      <c r="A160" s="202"/>
      <c r="B160" s="203"/>
      <c r="C160" s="203" t="s">
        <v>513</v>
      </c>
      <c r="D160" s="200">
        <f t="shared" si="138"/>
        <v>6.850058</v>
      </c>
      <c r="E160" s="204">
        <f t="shared" si="139"/>
        <v>6.850058</v>
      </c>
      <c r="F160" s="205"/>
      <c r="G160" s="205">
        <v>6.850058</v>
      </c>
      <c r="H160" s="205"/>
      <c r="I160" s="204">
        <f t="shared" si="140"/>
        <v>0</v>
      </c>
      <c r="J160" s="212"/>
      <c r="K160" s="205"/>
      <c r="L160" s="205"/>
      <c r="M160" s="213"/>
      <c r="N160" s="176">
        <f t="shared" si="127"/>
        <v>6.850058</v>
      </c>
    </row>
    <row r="161" ht="37.05" hidden="1" customHeight="1" spans="1:14">
      <c r="A161" s="202"/>
      <c r="B161" s="203"/>
      <c r="C161" s="203" t="s">
        <v>514</v>
      </c>
      <c r="D161" s="200">
        <f t="shared" si="138"/>
        <v>18.346094</v>
      </c>
      <c r="E161" s="204">
        <f t="shared" si="139"/>
        <v>18.346094</v>
      </c>
      <c r="F161" s="205"/>
      <c r="G161" s="205">
        <v>18.346094</v>
      </c>
      <c r="H161" s="205"/>
      <c r="I161" s="204">
        <f t="shared" si="140"/>
        <v>0</v>
      </c>
      <c r="J161" s="212"/>
      <c r="K161" s="205"/>
      <c r="L161" s="205"/>
      <c r="M161" s="213"/>
      <c r="N161" s="176">
        <f t="shared" si="127"/>
        <v>18.346094</v>
      </c>
    </row>
    <row r="162" ht="37.05" hidden="1" customHeight="1" spans="1:14">
      <c r="A162" s="202"/>
      <c r="B162" s="203"/>
      <c r="C162" s="203" t="s">
        <v>515</v>
      </c>
      <c r="D162" s="200">
        <f t="shared" si="138"/>
        <v>10.294406</v>
      </c>
      <c r="E162" s="204">
        <f t="shared" si="139"/>
        <v>10.294406</v>
      </c>
      <c r="F162" s="205"/>
      <c r="G162" s="205">
        <v>10.294406</v>
      </c>
      <c r="H162" s="205"/>
      <c r="I162" s="204">
        <f t="shared" si="140"/>
        <v>0</v>
      </c>
      <c r="J162" s="212"/>
      <c r="K162" s="205"/>
      <c r="L162" s="205"/>
      <c r="M162" s="213"/>
      <c r="N162" s="176">
        <f t="shared" si="127"/>
        <v>10.294406</v>
      </c>
    </row>
    <row r="163" ht="37.05" hidden="1" customHeight="1" spans="1:14">
      <c r="A163" s="202"/>
      <c r="B163" s="203"/>
      <c r="C163" s="203" t="s">
        <v>516</v>
      </c>
      <c r="D163" s="200">
        <f t="shared" si="138"/>
        <v>1.070332</v>
      </c>
      <c r="E163" s="204">
        <f t="shared" si="139"/>
        <v>1.070332</v>
      </c>
      <c r="F163" s="205"/>
      <c r="G163" s="205">
        <v>1.070332</v>
      </c>
      <c r="H163" s="205"/>
      <c r="I163" s="204">
        <f t="shared" si="140"/>
        <v>0</v>
      </c>
      <c r="J163" s="212"/>
      <c r="K163" s="205"/>
      <c r="L163" s="205"/>
      <c r="M163" s="213"/>
      <c r="N163" s="176">
        <f t="shared" si="127"/>
        <v>1.070332</v>
      </c>
    </row>
    <row r="164" ht="37.05" hidden="1" customHeight="1" spans="1:14">
      <c r="A164" s="202"/>
      <c r="B164" s="203"/>
      <c r="C164" s="203" t="s">
        <v>343</v>
      </c>
      <c r="D164" s="200">
        <f t="shared" si="138"/>
        <v>3.39237</v>
      </c>
      <c r="E164" s="204">
        <f t="shared" si="139"/>
        <v>3.39237</v>
      </c>
      <c r="F164" s="205"/>
      <c r="G164" s="205">
        <v>3.39237</v>
      </c>
      <c r="H164" s="205"/>
      <c r="I164" s="204">
        <f t="shared" si="140"/>
        <v>0</v>
      </c>
      <c r="J164" s="212"/>
      <c r="K164" s="205"/>
      <c r="L164" s="205"/>
      <c r="M164" s="213"/>
      <c r="N164" s="176">
        <f t="shared" si="127"/>
        <v>3.39237</v>
      </c>
    </row>
    <row r="165" ht="37.05" hidden="1" customHeight="1" spans="1:14">
      <c r="A165" s="202"/>
      <c r="B165" s="203"/>
      <c r="C165" s="203" t="s">
        <v>503</v>
      </c>
      <c r="D165" s="200">
        <f t="shared" si="138"/>
        <v>0.76901</v>
      </c>
      <c r="E165" s="204">
        <f t="shared" si="139"/>
        <v>0.76901</v>
      </c>
      <c r="F165" s="205"/>
      <c r="G165" s="205">
        <v>0.76901</v>
      </c>
      <c r="H165" s="205"/>
      <c r="I165" s="204">
        <f t="shared" si="140"/>
        <v>0</v>
      </c>
      <c r="J165" s="212"/>
      <c r="K165" s="205"/>
      <c r="L165" s="205"/>
      <c r="M165" s="213"/>
      <c r="N165" s="176">
        <f t="shared" si="127"/>
        <v>0.76901</v>
      </c>
    </row>
    <row r="166" ht="37.05" hidden="1" customHeight="1" spans="1:14">
      <c r="A166" s="202"/>
      <c r="B166" s="203"/>
      <c r="C166" s="203" t="s">
        <v>517</v>
      </c>
      <c r="D166" s="200">
        <f t="shared" si="138"/>
        <v>1.069244</v>
      </c>
      <c r="E166" s="204">
        <f t="shared" si="139"/>
        <v>1.069244</v>
      </c>
      <c r="F166" s="205"/>
      <c r="G166" s="205">
        <v>1.069244</v>
      </c>
      <c r="H166" s="205"/>
      <c r="I166" s="204">
        <f t="shared" si="140"/>
        <v>0</v>
      </c>
      <c r="J166" s="212"/>
      <c r="K166" s="205"/>
      <c r="L166" s="205"/>
      <c r="M166" s="213"/>
      <c r="N166" s="176">
        <f t="shared" si="127"/>
        <v>1.069244</v>
      </c>
    </row>
    <row r="167" ht="37.05" hidden="1" customHeight="1" spans="1:14">
      <c r="A167" s="202"/>
      <c r="B167" s="203"/>
      <c r="C167" s="203" t="s">
        <v>347</v>
      </c>
      <c r="D167" s="200">
        <f t="shared" si="138"/>
        <v>1.098868</v>
      </c>
      <c r="E167" s="204">
        <f t="shared" si="139"/>
        <v>1.098868</v>
      </c>
      <c r="F167" s="205"/>
      <c r="G167" s="205">
        <v>1.098868</v>
      </c>
      <c r="H167" s="205"/>
      <c r="I167" s="204">
        <f t="shared" si="140"/>
        <v>0</v>
      </c>
      <c r="J167" s="212"/>
      <c r="K167" s="205"/>
      <c r="L167" s="205"/>
      <c r="M167" s="213"/>
      <c r="N167" s="176">
        <f t="shared" si="127"/>
        <v>1.098868</v>
      </c>
    </row>
    <row r="168" ht="37.05" hidden="1" customHeight="1" spans="1:14">
      <c r="A168" s="202"/>
      <c r="B168" s="203"/>
      <c r="C168" s="203" t="s">
        <v>463</v>
      </c>
      <c r="D168" s="200">
        <f t="shared" si="138"/>
        <v>0.79688</v>
      </c>
      <c r="E168" s="204">
        <f t="shared" si="139"/>
        <v>0.79688</v>
      </c>
      <c r="F168" s="205"/>
      <c r="G168" s="205">
        <v>0.79688</v>
      </c>
      <c r="H168" s="205"/>
      <c r="I168" s="204">
        <f t="shared" si="140"/>
        <v>0</v>
      </c>
      <c r="J168" s="212"/>
      <c r="K168" s="205"/>
      <c r="L168" s="205"/>
      <c r="M168" s="213"/>
      <c r="N168" s="176">
        <f t="shared" si="127"/>
        <v>0.79688</v>
      </c>
    </row>
    <row r="169" ht="37.05" hidden="1" customHeight="1" spans="1:14">
      <c r="A169" s="202"/>
      <c r="B169" s="203"/>
      <c r="C169" s="203" t="s">
        <v>407</v>
      </c>
      <c r="D169" s="200">
        <f t="shared" si="138"/>
        <v>12.151468</v>
      </c>
      <c r="E169" s="204">
        <f t="shared" si="139"/>
        <v>12.151468</v>
      </c>
      <c r="F169" s="205"/>
      <c r="G169" s="205">
        <v>12.151468</v>
      </c>
      <c r="H169" s="205"/>
      <c r="I169" s="204">
        <f t="shared" si="140"/>
        <v>0</v>
      </c>
      <c r="J169" s="212"/>
      <c r="K169" s="205"/>
      <c r="L169" s="205"/>
      <c r="M169" s="213"/>
      <c r="N169" s="176">
        <f t="shared" si="127"/>
        <v>12.151468</v>
      </c>
    </row>
    <row r="170" ht="37.05" hidden="1" customHeight="1" spans="1:14">
      <c r="A170" s="202"/>
      <c r="B170" s="203"/>
      <c r="C170" s="203" t="s">
        <v>427</v>
      </c>
      <c r="D170" s="200">
        <f t="shared" si="138"/>
        <v>2.72584</v>
      </c>
      <c r="E170" s="204">
        <f t="shared" si="139"/>
        <v>2.72584</v>
      </c>
      <c r="F170" s="205"/>
      <c r="G170" s="205">
        <v>2.72584</v>
      </c>
      <c r="H170" s="205"/>
      <c r="I170" s="204">
        <f t="shared" si="140"/>
        <v>0</v>
      </c>
      <c r="J170" s="212"/>
      <c r="K170" s="205"/>
      <c r="L170" s="205"/>
      <c r="M170" s="213"/>
      <c r="N170" s="176">
        <f t="shared" si="127"/>
        <v>2.72584</v>
      </c>
    </row>
    <row r="171" ht="37.05" hidden="1" customHeight="1" spans="1:14">
      <c r="A171" s="202"/>
      <c r="B171" s="203"/>
      <c r="C171" s="203" t="s">
        <v>370</v>
      </c>
      <c r="D171" s="200">
        <f t="shared" si="138"/>
        <v>1.984184</v>
      </c>
      <c r="E171" s="204">
        <f t="shared" si="139"/>
        <v>1.984184</v>
      </c>
      <c r="F171" s="205"/>
      <c r="G171" s="205">
        <v>1.984184</v>
      </c>
      <c r="H171" s="205"/>
      <c r="I171" s="204">
        <f t="shared" si="140"/>
        <v>0</v>
      </c>
      <c r="J171" s="212"/>
      <c r="K171" s="205"/>
      <c r="L171" s="205"/>
      <c r="M171" s="213"/>
      <c r="N171" s="176">
        <f t="shared" si="127"/>
        <v>1.984184</v>
      </c>
    </row>
    <row r="172" ht="37.05" hidden="1" customHeight="1" spans="1:14">
      <c r="A172" s="202"/>
      <c r="B172" s="203"/>
      <c r="C172" s="203" t="s">
        <v>394</v>
      </c>
      <c r="D172" s="200">
        <f t="shared" si="138"/>
        <v>2.775492</v>
      </c>
      <c r="E172" s="204">
        <f t="shared" si="139"/>
        <v>2.775492</v>
      </c>
      <c r="F172" s="205"/>
      <c r="G172" s="205">
        <v>2.775492</v>
      </c>
      <c r="H172" s="205"/>
      <c r="I172" s="204">
        <f t="shared" si="140"/>
        <v>0</v>
      </c>
      <c r="J172" s="212"/>
      <c r="K172" s="205"/>
      <c r="L172" s="205"/>
      <c r="M172" s="213"/>
      <c r="N172" s="176">
        <f t="shared" si="127"/>
        <v>2.775492</v>
      </c>
    </row>
    <row r="173" ht="37.05" hidden="1" customHeight="1" spans="1:14">
      <c r="A173" s="202"/>
      <c r="B173" s="203"/>
      <c r="C173" s="203" t="s">
        <v>518</v>
      </c>
      <c r="D173" s="200">
        <f t="shared" si="138"/>
        <v>2.8158</v>
      </c>
      <c r="E173" s="204">
        <f t="shared" si="139"/>
        <v>2.8158</v>
      </c>
      <c r="F173" s="205"/>
      <c r="G173" s="205">
        <v>2.8158</v>
      </c>
      <c r="H173" s="205"/>
      <c r="I173" s="204">
        <f t="shared" si="140"/>
        <v>0</v>
      </c>
      <c r="J173" s="212"/>
      <c r="K173" s="205"/>
      <c r="L173" s="205"/>
      <c r="M173" s="213"/>
      <c r="N173" s="176">
        <f t="shared" si="127"/>
        <v>2.8158</v>
      </c>
    </row>
    <row r="174" ht="37.05" hidden="1" customHeight="1" spans="1:14">
      <c r="A174" s="202"/>
      <c r="B174" s="203"/>
      <c r="C174" s="203" t="s">
        <v>496</v>
      </c>
      <c r="D174" s="200">
        <f t="shared" si="138"/>
        <v>0.58429</v>
      </c>
      <c r="E174" s="204">
        <f t="shared" si="139"/>
        <v>0.58429</v>
      </c>
      <c r="F174" s="205"/>
      <c r="G174" s="205">
        <v>0.58429</v>
      </c>
      <c r="H174" s="205"/>
      <c r="I174" s="204">
        <f t="shared" si="140"/>
        <v>0</v>
      </c>
      <c r="J174" s="212"/>
      <c r="K174" s="205"/>
      <c r="L174" s="205"/>
      <c r="M174" s="213"/>
      <c r="N174" s="176">
        <f t="shared" si="127"/>
        <v>0.58429</v>
      </c>
    </row>
    <row r="175" ht="37.05" hidden="1" customHeight="1" spans="1:14">
      <c r="A175" s="202"/>
      <c r="B175" s="203"/>
      <c r="C175" s="203" t="s">
        <v>519</v>
      </c>
      <c r="D175" s="200">
        <f t="shared" si="138"/>
        <v>1.736048</v>
      </c>
      <c r="E175" s="204">
        <f t="shared" si="139"/>
        <v>1.736048</v>
      </c>
      <c r="F175" s="205"/>
      <c r="G175" s="205">
        <v>1.736048</v>
      </c>
      <c r="H175" s="205"/>
      <c r="I175" s="204">
        <f t="shared" si="140"/>
        <v>0</v>
      </c>
      <c r="J175" s="212"/>
      <c r="K175" s="205"/>
      <c r="L175" s="205"/>
      <c r="M175" s="213"/>
      <c r="N175" s="176">
        <f t="shared" si="127"/>
        <v>1.736048</v>
      </c>
    </row>
    <row r="176" ht="37.05" hidden="1" customHeight="1" spans="1:14">
      <c r="A176" s="202"/>
      <c r="B176" s="203"/>
      <c r="C176" s="203" t="s">
        <v>471</v>
      </c>
      <c r="D176" s="200">
        <f t="shared" si="138"/>
        <v>1.4844</v>
      </c>
      <c r="E176" s="204">
        <f t="shared" si="139"/>
        <v>1.4844</v>
      </c>
      <c r="F176" s="205"/>
      <c r="G176" s="205">
        <v>1.4844</v>
      </c>
      <c r="H176" s="205"/>
      <c r="I176" s="204">
        <f t="shared" si="140"/>
        <v>0</v>
      </c>
      <c r="J176" s="212"/>
      <c r="K176" s="205"/>
      <c r="L176" s="205"/>
      <c r="M176" s="213"/>
      <c r="N176" s="176">
        <f t="shared" si="127"/>
        <v>1.4844</v>
      </c>
    </row>
    <row r="177" ht="37.05" hidden="1" customHeight="1" spans="1:14">
      <c r="A177" s="202"/>
      <c r="B177" s="203"/>
      <c r="C177" s="203" t="s">
        <v>520</v>
      </c>
      <c r="D177" s="200">
        <f t="shared" si="138"/>
        <v>1.820558</v>
      </c>
      <c r="E177" s="204">
        <f t="shared" si="139"/>
        <v>1.820558</v>
      </c>
      <c r="F177" s="205"/>
      <c r="G177" s="205">
        <v>1.820558</v>
      </c>
      <c r="H177" s="205"/>
      <c r="I177" s="204">
        <f t="shared" si="140"/>
        <v>0</v>
      </c>
      <c r="J177" s="212"/>
      <c r="K177" s="205"/>
      <c r="L177" s="205"/>
      <c r="M177" s="213"/>
      <c r="N177" s="176">
        <f t="shared" si="127"/>
        <v>1.820558</v>
      </c>
    </row>
    <row r="178" ht="37.05" hidden="1" customHeight="1" spans="1:14">
      <c r="A178" s="202"/>
      <c r="B178" s="203"/>
      <c r="C178" s="203" t="s">
        <v>521</v>
      </c>
      <c r="D178" s="200">
        <f t="shared" si="138"/>
        <v>0.741704</v>
      </c>
      <c r="E178" s="204">
        <f t="shared" si="139"/>
        <v>0.741704</v>
      </c>
      <c r="F178" s="205"/>
      <c r="G178" s="205">
        <v>0.741704</v>
      </c>
      <c r="H178" s="205"/>
      <c r="I178" s="204">
        <f t="shared" si="140"/>
        <v>0</v>
      </c>
      <c r="J178" s="212"/>
      <c r="K178" s="205"/>
      <c r="L178" s="205"/>
      <c r="M178" s="213"/>
      <c r="N178" s="176">
        <f t="shared" si="127"/>
        <v>0.741704</v>
      </c>
    </row>
    <row r="179" ht="37.05" hidden="1" customHeight="1" spans="1:14">
      <c r="A179" s="202"/>
      <c r="B179" s="203"/>
      <c r="C179" s="203" t="s">
        <v>354</v>
      </c>
      <c r="D179" s="200">
        <f t="shared" si="138"/>
        <v>1.776676</v>
      </c>
      <c r="E179" s="204">
        <f t="shared" si="139"/>
        <v>1.776676</v>
      </c>
      <c r="F179" s="205"/>
      <c r="G179" s="205">
        <v>1.776676</v>
      </c>
      <c r="H179" s="205"/>
      <c r="I179" s="204">
        <f t="shared" si="140"/>
        <v>0</v>
      </c>
      <c r="J179" s="212"/>
      <c r="K179" s="205"/>
      <c r="L179" s="205"/>
      <c r="M179" s="213"/>
      <c r="N179" s="176">
        <f t="shared" si="127"/>
        <v>1.776676</v>
      </c>
    </row>
    <row r="180" ht="37.05" hidden="1" customHeight="1" spans="1:14">
      <c r="A180" s="202"/>
      <c r="B180" s="203"/>
      <c r="C180" s="203" t="s">
        <v>522</v>
      </c>
      <c r="D180" s="200">
        <f t="shared" si="138"/>
        <v>21.756658</v>
      </c>
      <c r="E180" s="204">
        <f t="shared" si="139"/>
        <v>21.756658</v>
      </c>
      <c r="F180" s="205"/>
      <c r="G180" s="205">
        <v>21.756658</v>
      </c>
      <c r="H180" s="205"/>
      <c r="I180" s="204">
        <f t="shared" si="140"/>
        <v>0</v>
      </c>
      <c r="J180" s="212"/>
      <c r="K180" s="205"/>
      <c r="L180" s="205"/>
      <c r="M180" s="213"/>
      <c r="N180" s="176">
        <f t="shared" si="127"/>
        <v>21.756658</v>
      </c>
    </row>
    <row r="181" ht="37.05" hidden="1" customHeight="1" spans="1:14">
      <c r="A181" s="202"/>
      <c r="B181" s="203"/>
      <c r="C181" s="203" t="s">
        <v>523</v>
      </c>
      <c r="D181" s="200">
        <f t="shared" si="138"/>
        <v>5.96723</v>
      </c>
      <c r="E181" s="204">
        <f t="shared" si="139"/>
        <v>5.96723</v>
      </c>
      <c r="F181" s="205"/>
      <c r="G181" s="205">
        <v>5.96723</v>
      </c>
      <c r="H181" s="205"/>
      <c r="I181" s="204">
        <f t="shared" si="140"/>
        <v>0</v>
      </c>
      <c r="J181" s="212"/>
      <c r="K181" s="205"/>
      <c r="L181" s="205"/>
      <c r="M181" s="213"/>
      <c r="N181" s="176">
        <f t="shared" si="127"/>
        <v>5.96723</v>
      </c>
    </row>
    <row r="182" ht="37.05" hidden="1" customHeight="1" spans="1:14">
      <c r="A182" s="202"/>
      <c r="B182" s="203"/>
      <c r="C182" s="203" t="s">
        <v>524</v>
      </c>
      <c r="D182" s="200">
        <f t="shared" si="138"/>
        <v>1.34128</v>
      </c>
      <c r="E182" s="204">
        <f t="shared" si="139"/>
        <v>1.34128</v>
      </c>
      <c r="F182" s="205"/>
      <c r="G182" s="205">
        <v>1.34128</v>
      </c>
      <c r="H182" s="205"/>
      <c r="I182" s="204">
        <f t="shared" si="140"/>
        <v>0</v>
      </c>
      <c r="J182" s="212"/>
      <c r="K182" s="205"/>
      <c r="L182" s="205"/>
      <c r="M182" s="213"/>
      <c r="N182" s="176">
        <f t="shared" si="127"/>
        <v>1.34128</v>
      </c>
    </row>
    <row r="183" ht="37.05" hidden="1" customHeight="1" spans="1:14">
      <c r="A183" s="202"/>
      <c r="B183" s="203"/>
      <c r="C183" s="203" t="s">
        <v>525</v>
      </c>
      <c r="D183" s="200">
        <f t="shared" si="138"/>
        <v>0.533808</v>
      </c>
      <c r="E183" s="204">
        <f t="shared" si="139"/>
        <v>0.533808</v>
      </c>
      <c r="F183" s="205"/>
      <c r="G183" s="205">
        <v>0.533808</v>
      </c>
      <c r="H183" s="205"/>
      <c r="I183" s="204">
        <f t="shared" si="140"/>
        <v>0</v>
      </c>
      <c r="J183" s="212"/>
      <c r="K183" s="205"/>
      <c r="L183" s="205"/>
      <c r="M183" s="213"/>
      <c r="N183" s="176">
        <f t="shared" si="127"/>
        <v>0.533808</v>
      </c>
    </row>
    <row r="184" ht="37.05" hidden="1" customHeight="1" spans="1:14">
      <c r="A184" s="202"/>
      <c r="B184" s="203"/>
      <c r="C184" s="203" t="s">
        <v>526</v>
      </c>
      <c r="D184" s="200">
        <f t="shared" si="138"/>
        <v>12.672633</v>
      </c>
      <c r="E184" s="204">
        <f t="shared" si="139"/>
        <v>12.672633</v>
      </c>
      <c r="F184" s="205"/>
      <c r="G184" s="205">
        <v>12.672633</v>
      </c>
      <c r="H184" s="205"/>
      <c r="I184" s="204">
        <f t="shared" si="140"/>
        <v>0</v>
      </c>
      <c r="J184" s="212"/>
      <c r="K184" s="205"/>
      <c r="L184" s="205"/>
      <c r="M184" s="213"/>
      <c r="N184" s="176">
        <f t="shared" si="127"/>
        <v>12.672633</v>
      </c>
    </row>
    <row r="185" ht="37.05" hidden="1" customHeight="1" spans="1:14">
      <c r="A185" s="202"/>
      <c r="B185" s="203"/>
      <c r="C185" s="203" t="s">
        <v>526</v>
      </c>
      <c r="D185" s="200">
        <f t="shared" si="138"/>
        <v>4.588277</v>
      </c>
      <c r="E185" s="204">
        <f t="shared" si="139"/>
        <v>4.588277</v>
      </c>
      <c r="F185" s="205"/>
      <c r="G185" s="205">
        <v>4.588277</v>
      </c>
      <c r="H185" s="205"/>
      <c r="I185" s="204">
        <f t="shared" si="140"/>
        <v>0</v>
      </c>
      <c r="J185" s="212"/>
      <c r="K185" s="205"/>
      <c r="L185" s="205"/>
      <c r="M185" s="213"/>
      <c r="N185" s="176">
        <f t="shared" si="127"/>
        <v>4.588277</v>
      </c>
    </row>
    <row r="186" ht="37.05" hidden="1" customHeight="1" spans="1:14">
      <c r="A186" s="202"/>
      <c r="B186" s="203"/>
      <c r="C186" s="203" t="s">
        <v>526</v>
      </c>
      <c r="D186" s="200">
        <f t="shared" si="138"/>
        <v>2.440492</v>
      </c>
      <c r="E186" s="204">
        <f t="shared" si="139"/>
        <v>2.440492</v>
      </c>
      <c r="F186" s="205"/>
      <c r="G186" s="205">
        <v>2.440492</v>
      </c>
      <c r="H186" s="205"/>
      <c r="I186" s="204">
        <f t="shared" si="140"/>
        <v>0</v>
      </c>
      <c r="J186" s="212"/>
      <c r="K186" s="205"/>
      <c r="L186" s="205"/>
      <c r="M186" s="213"/>
      <c r="N186" s="176">
        <f t="shared" si="127"/>
        <v>2.440492</v>
      </c>
    </row>
    <row r="187" ht="37.05" hidden="1" customHeight="1" spans="1:14">
      <c r="A187" s="202"/>
      <c r="B187" s="203"/>
      <c r="C187" s="203" t="s">
        <v>526</v>
      </c>
      <c r="D187" s="200">
        <f t="shared" si="138"/>
        <v>1.435105</v>
      </c>
      <c r="E187" s="204">
        <f t="shared" si="139"/>
        <v>1.435105</v>
      </c>
      <c r="F187" s="205"/>
      <c r="G187" s="205">
        <v>1.435105</v>
      </c>
      <c r="H187" s="205"/>
      <c r="I187" s="204">
        <f t="shared" si="140"/>
        <v>0</v>
      </c>
      <c r="J187" s="212"/>
      <c r="K187" s="205"/>
      <c r="L187" s="205"/>
      <c r="M187" s="213"/>
      <c r="N187" s="176">
        <f t="shared" si="127"/>
        <v>1.435105</v>
      </c>
    </row>
    <row r="188" ht="37.05" hidden="1" customHeight="1" spans="1:14">
      <c r="A188" s="202"/>
      <c r="B188" s="203"/>
      <c r="C188" s="203" t="s">
        <v>526</v>
      </c>
      <c r="D188" s="200">
        <f t="shared" si="138"/>
        <v>1.401901</v>
      </c>
      <c r="E188" s="204">
        <f t="shared" si="139"/>
        <v>1.401901</v>
      </c>
      <c r="F188" s="205"/>
      <c r="G188" s="205">
        <v>1.401901</v>
      </c>
      <c r="H188" s="205"/>
      <c r="I188" s="204">
        <f t="shared" si="140"/>
        <v>0</v>
      </c>
      <c r="J188" s="212"/>
      <c r="K188" s="205"/>
      <c r="L188" s="205"/>
      <c r="M188" s="213"/>
      <c r="N188" s="176">
        <f t="shared" si="127"/>
        <v>1.401901</v>
      </c>
    </row>
    <row r="189" ht="37.05" hidden="1" customHeight="1" spans="1:14">
      <c r="A189" s="202"/>
      <c r="B189" s="203"/>
      <c r="C189" s="203" t="s">
        <v>526</v>
      </c>
      <c r="D189" s="200">
        <f t="shared" si="138"/>
        <v>2.277429</v>
      </c>
      <c r="E189" s="204">
        <f t="shared" si="139"/>
        <v>2.277429</v>
      </c>
      <c r="F189" s="205"/>
      <c r="G189" s="205">
        <v>2.277429</v>
      </c>
      <c r="H189" s="205"/>
      <c r="I189" s="204">
        <f t="shared" si="140"/>
        <v>0</v>
      </c>
      <c r="J189" s="212"/>
      <c r="K189" s="205"/>
      <c r="L189" s="205"/>
      <c r="M189" s="213"/>
      <c r="N189" s="176">
        <f t="shared" si="127"/>
        <v>2.277429</v>
      </c>
    </row>
    <row r="190" ht="37.05" hidden="1" customHeight="1" spans="1:14">
      <c r="A190" s="202"/>
      <c r="B190" s="203"/>
      <c r="C190" s="203" t="s">
        <v>526</v>
      </c>
      <c r="D190" s="200">
        <f t="shared" si="138"/>
        <v>0.353864</v>
      </c>
      <c r="E190" s="204">
        <f t="shared" si="139"/>
        <v>0.353864</v>
      </c>
      <c r="F190" s="205"/>
      <c r="G190" s="205">
        <v>0.353864</v>
      </c>
      <c r="H190" s="205"/>
      <c r="I190" s="204">
        <f t="shared" si="140"/>
        <v>0</v>
      </c>
      <c r="J190" s="212"/>
      <c r="K190" s="205"/>
      <c r="L190" s="205"/>
      <c r="M190" s="213"/>
      <c r="N190" s="176">
        <f t="shared" si="127"/>
        <v>0.353864</v>
      </c>
    </row>
    <row r="191" ht="37.05" hidden="1" customHeight="1" spans="1:14">
      <c r="A191" s="202"/>
      <c r="B191" s="203"/>
      <c r="C191" s="203" t="s">
        <v>526</v>
      </c>
      <c r="D191" s="200">
        <f t="shared" si="138"/>
        <v>0.467345</v>
      </c>
      <c r="E191" s="204">
        <f t="shared" si="139"/>
        <v>0.467345</v>
      </c>
      <c r="F191" s="205"/>
      <c r="G191" s="205">
        <v>0.467345</v>
      </c>
      <c r="H191" s="205"/>
      <c r="I191" s="204">
        <f t="shared" si="140"/>
        <v>0</v>
      </c>
      <c r="J191" s="212"/>
      <c r="K191" s="205"/>
      <c r="L191" s="205"/>
      <c r="M191" s="213"/>
      <c r="N191" s="176">
        <f t="shared" si="127"/>
        <v>0.467345</v>
      </c>
    </row>
    <row r="192" ht="37.05" hidden="1" customHeight="1" spans="1:14">
      <c r="A192" s="202"/>
      <c r="B192" s="203"/>
      <c r="C192" s="203" t="s">
        <v>526</v>
      </c>
      <c r="D192" s="200">
        <f t="shared" si="138"/>
        <v>0.493921</v>
      </c>
      <c r="E192" s="204">
        <f t="shared" si="139"/>
        <v>0.493921</v>
      </c>
      <c r="F192" s="205"/>
      <c r="G192" s="205">
        <v>0.493921</v>
      </c>
      <c r="H192" s="205"/>
      <c r="I192" s="204">
        <f t="shared" si="140"/>
        <v>0</v>
      </c>
      <c r="J192" s="212"/>
      <c r="K192" s="205"/>
      <c r="L192" s="205"/>
      <c r="M192" s="213"/>
      <c r="N192" s="176">
        <f t="shared" si="127"/>
        <v>0.493921</v>
      </c>
    </row>
    <row r="193" ht="37.05" hidden="1" customHeight="1" spans="1:14">
      <c r="A193" s="202"/>
      <c r="B193" s="203"/>
      <c r="C193" s="203" t="s">
        <v>526</v>
      </c>
      <c r="D193" s="200">
        <f t="shared" si="138"/>
        <v>0.610359</v>
      </c>
      <c r="E193" s="204">
        <f t="shared" si="139"/>
        <v>0.610359</v>
      </c>
      <c r="F193" s="205"/>
      <c r="G193" s="205">
        <v>0.610359</v>
      </c>
      <c r="H193" s="205"/>
      <c r="I193" s="204">
        <f t="shared" si="140"/>
        <v>0</v>
      </c>
      <c r="J193" s="212"/>
      <c r="K193" s="205"/>
      <c r="L193" s="205"/>
      <c r="M193" s="213"/>
      <c r="N193" s="176">
        <f t="shared" si="127"/>
        <v>0.610359</v>
      </c>
    </row>
    <row r="194" ht="37.05" hidden="1" customHeight="1" spans="1:14">
      <c r="A194" s="202"/>
      <c r="B194" s="203"/>
      <c r="C194" s="203" t="s">
        <v>526</v>
      </c>
      <c r="D194" s="200">
        <f t="shared" si="138"/>
        <v>0.498354</v>
      </c>
      <c r="E194" s="204">
        <f t="shared" si="139"/>
        <v>0.498354</v>
      </c>
      <c r="F194" s="205"/>
      <c r="G194" s="205">
        <v>0.498354</v>
      </c>
      <c r="H194" s="205"/>
      <c r="I194" s="204">
        <f t="shared" si="140"/>
        <v>0</v>
      </c>
      <c r="J194" s="212"/>
      <c r="K194" s="205"/>
      <c r="L194" s="205"/>
      <c r="M194" s="215"/>
      <c r="N194" s="176">
        <f t="shared" si="127"/>
        <v>0.498354</v>
      </c>
    </row>
    <row r="195" ht="37.05" hidden="1" customHeight="1" spans="1:14">
      <c r="A195" s="202"/>
      <c r="B195" s="203"/>
      <c r="C195" s="203" t="s">
        <v>526</v>
      </c>
      <c r="D195" s="200">
        <f t="shared" si="138"/>
        <v>0.503385</v>
      </c>
      <c r="E195" s="204">
        <f t="shared" si="139"/>
        <v>0.503385</v>
      </c>
      <c r="F195" s="205"/>
      <c r="G195" s="205">
        <v>0.503385</v>
      </c>
      <c r="H195" s="205"/>
      <c r="I195" s="204">
        <f t="shared" si="140"/>
        <v>0</v>
      </c>
      <c r="J195" s="212"/>
      <c r="K195" s="205"/>
      <c r="L195" s="205"/>
      <c r="M195" s="213"/>
      <c r="N195" s="176">
        <f t="shared" si="127"/>
        <v>0.503385</v>
      </c>
    </row>
    <row r="196" ht="37.05" hidden="1" customHeight="1" spans="1:14">
      <c r="A196" s="202"/>
      <c r="B196" s="203"/>
      <c r="C196" s="203" t="s">
        <v>526</v>
      </c>
      <c r="D196" s="200">
        <f t="shared" si="138"/>
        <v>0.499441</v>
      </c>
      <c r="E196" s="204">
        <f t="shared" si="139"/>
        <v>0.499441</v>
      </c>
      <c r="F196" s="205"/>
      <c r="G196" s="205">
        <v>0.499441</v>
      </c>
      <c r="H196" s="205"/>
      <c r="I196" s="204">
        <f t="shared" si="140"/>
        <v>0</v>
      </c>
      <c r="J196" s="212"/>
      <c r="K196" s="205"/>
      <c r="L196" s="205"/>
      <c r="M196" s="213"/>
      <c r="N196" s="176">
        <f t="shared" si="127"/>
        <v>0.499441</v>
      </c>
    </row>
    <row r="197" ht="37.05" hidden="1" customHeight="1" spans="1:14">
      <c r="A197" s="202"/>
      <c r="B197" s="203"/>
      <c r="C197" s="203" t="s">
        <v>526</v>
      </c>
      <c r="D197" s="200">
        <f t="shared" si="138"/>
        <v>0.482088</v>
      </c>
      <c r="E197" s="204">
        <f t="shared" si="139"/>
        <v>0.482088</v>
      </c>
      <c r="F197" s="205"/>
      <c r="G197" s="205">
        <v>0.482088</v>
      </c>
      <c r="H197" s="205"/>
      <c r="I197" s="204">
        <f t="shared" si="140"/>
        <v>0</v>
      </c>
      <c r="J197" s="212"/>
      <c r="K197" s="205"/>
      <c r="L197" s="205"/>
      <c r="M197" s="213"/>
      <c r="N197" s="176">
        <f t="shared" si="127"/>
        <v>0.482088</v>
      </c>
    </row>
    <row r="198" ht="37.05" hidden="1" customHeight="1" spans="1:14">
      <c r="A198" s="202"/>
      <c r="B198" s="203"/>
      <c r="C198" s="203" t="s">
        <v>526</v>
      </c>
      <c r="D198" s="200">
        <f t="shared" si="138"/>
        <v>0.467602</v>
      </c>
      <c r="E198" s="204">
        <f t="shared" si="139"/>
        <v>0.467602</v>
      </c>
      <c r="F198" s="205"/>
      <c r="G198" s="205">
        <v>0.467602</v>
      </c>
      <c r="H198" s="205"/>
      <c r="I198" s="204">
        <f t="shared" si="140"/>
        <v>0</v>
      </c>
      <c r="J198" s="212"/>
      <c r="K198" s="205"/>
      <c r="L198" s="205"/>
      <c r="M198" s="213"/>
      <c r="N198" s="176">
        <f t="shared" si="127"/>
        <v>0.467602</v>
      </c>
    </row>
    <row r="199" ht="37.05" hidden="1" customHeight="1" spans="1:14">
      <c r="A199" s="202"/>
      <c r="B199" s="203"/>
      <c r="C199" s="203" t="s">
        <v>526</v>
      </c>
      <c r="D199" s="200">
        <f t="shared" si="138"/>
        <v>0.491462</v>
      </c>
      <c r="E199" s="204">
        <f t="shared" si="139"/>
        <v>0.491462</v>
      </c>
      <c r="F199" s="205"/>
      <c r="G199" s="205">
        <v>0.491462</v>
      </c>
      <c r="H199" s="205"/>
      <c r="I199" s="204">
        <f t="shared" si="140"/>
        <v>0</v>
      </c>
      <c r="J199" s="212"/>
      <c r="K199" s="205"/>
      <c r="L199" s="205"/>
      <c r="M199" s="213"/>
      <c r="N199" s="176">
        <f t="shared" si="127"/>
        <v>0.491462</v>
      </c>
    </row>
    <row r="200" ht="37.05" hidden="1" customHeight="1" spans="1:14">
      <c r="A200" s="202"/>
      <c r="B200" s="203"/>
      <c r="C200" s="203" t="s">
        <v>526</v>
      </c>
      <c r="D200" s="200">
        <f t="shared" si="138"/>
        <v>0.440585</v>
      </c>
      <c r="E200" s="204">
        <f t="shared" si="139"/>
        <v>0.440585</v>
      </c>
      <c r="F200" s="205"/>
      <c r="G200" s="205">
        <v>0.440585</v>
      </c>
      <c r="H200" s="205"/>
      <c r="I200" s="204">
        <f t="shared" si="140"/>
        <v>0</v>
      </c>
      <c r="J200" s="212"/>
      <c r="K200" s="205"/>
      <c r="L200" s="205"/>
      <c r="M200" s="213"/>
      <c r="N200" s="176">
        <f t="shared" si="127"/>
        <v>0.440585</v>
      </c>
    </row>
    <row r="201" ht="37.05" hidden="1" customHeight="1" spans="1:14">
      <c r="A201" s="202"/>
      <c r="B201" s="203"/>
      <c r="C201" s="203" t="s">
        <v>526</v>
      </c>
      <c r="D201" s="200">
        <f t="shared" si="138"/>
        <v>14.028362</v>
      </c>
      <c r="E201" s="204">
        <f t="shared" si="139"/>
        <v>14.028362</v>
      </c>
      <c r="F201" s="205"/>
      <c r="G201" s="205">
        <v>14.028362</v>
      </c>
      <c r="H201" s="205"/>
      <c r="I201" s="204">
        <f t="shared" si="140"/>
        <v>0</v>
      </c>
      <c r="J201" s="212"/>
      <c r="K201" s="205"/>
      <c r="L201" s="205"/>
      <c r="M201" s="213"/>
      <c r="N201" s="176">
        <f t="shared" ref="N201:N264" si="141">J201+E201</f>
        <v>14.028362</v>
      </c>
    </row>
    <row r="202" ht="37.05" hidden="1" customHeight="1" spans="1:14">
      <c r="A202" s="202"/>
      <c r="B202" s="203"/>
      <c r="C202" s="203" t="s">
        <v>526</v>
      </c>
      <c r="D202" s="200">
        <f t="shared" si="138"/>
        <v>14.936192</v>
      </c>
      <c r="E202" s="204">
        <f t="shared" si="139"/>
        <v>14.936192</v>
      </c>
      <c r="F202" s="205"/>
      <c r="G202" s="205">
        <v>14.936192</v>
      </c>
      <c r="H202" s="205"/>
      <c r="I202" s="204">
        <f t="shared" si="140"/>
        <v>0</v>
      </c>
      <c r="J202" s="212"/>
      <c r="K202" s="205"/>
      <c r="L202" s="205"/>
      <c r="M202" s="213"/>
      <c r="N202" s="176">
        <f t="shared" si="141"/>
        <v>14.936192</v>
      </c>
    </row>
    <row r="203" ht="37.05" hidden="1" customHeight="1" spans="1:14">
      <c r="A203" s="202"/>
      <c r="B203" s="203"/>
      <c r="C203" s="203" t="s">
        <v>526</v>
      </c>
      <c r="D203" s="200">
        <f t="shared" si="138"/>
        <v>36.182319</v>
      </c>
      <c r="E203" s="204">
        <f t="shared" si="139"/>
        <v>36.182319</v>
      </c>
      <c r="F203" s="205"/>
      <c r="G203" s="205">
        <v>36.182319</v>
      </c>
      <c r="H203" s="205"/>
      <c r="I203" s="204">
        <f t="shared" si="140"/>
        <v>0</v>
      </c>
      <c r="J203" s="212"/>
      <c r="K203" s="205"/>
      <c r="L203" s="205"/>
      <c r="M203" s="213"/>
      <c r="N203" s="176">
        <f t="shared" si="141"/>
        <v>36.182319</v>
      </c>
    </row>
    <row r="204" ht="37.05" hidden="1" customHeight="1" spans="1:14">
      <c r="A204" s="202"/>
      <c r="B204" s="203"/>
      <c r="C204" s="203" t="s">
        <v>526</v>
      </c>
      <c r="D204" s="200">
        <f t="shared" si="138"/>
        <v>10.868887</v>
      </c>
      <c r="E204" s="204">
        <f t="shared" si="139"/>
        <v>10.868887</v>
      </c>
      <c r="F204" s="205"/>
      <c r="G204" s="205">
        <v>10.868887</v>
      </c>
      <c r="H204" s="205"/>
      <c r="I204" s="204">
        <f t="shared" si="140"/>
        <v>0</v>
      </c>
      <c r="J204" s="212"/>
      <c r="K204" s="205"/>
      <c r="L204" s="205"/>
      <c r="M204" s="213"/>
      <c r="N204" s="176">
        <f t="shared" si="141"/>
        <v>10.868887</v>
      </c>
    </row>
    <row r="205" ht="37.05" hidden="1" customHeight="1" spans="1:14">
      <c r="A205" s="202"/>
      <c r="B205" s="203"/>
      <c r="C205" s="203" t="s">
        <v>526</v>
      </c>
      <c r="D205" s="200">
        <f t="shared" si="138"/>
        <v>8.655956</v>
      </c>
      <c r="E205" s="204">
        <f t="shared" si="139"/>
        <v>8.655956</v>
      </c>
      <c r="F205" s="205"/>
      <c r="G205" s="205">
        <v>8.655956</v>
      </c>
      <c r="H205" s="205"/>
      <c r="I205" s="204">
        <f t="shared" si="140"/>
        <v>0</v>
      </c>
      <c r="J205" s="212"/>
      <c r="K205" s="205"/>
      <c r="L205" s="205"/>
      <c r="M205" s="213"/>
      <c r="N205" s="176">
        <f t="shared" si="141"/>
        <v>8.655956</v>
      </c>
    </row>
    <row r="206" ht="37.05" hidden="1" customHeight="1" spans="1:14">
      <c r="A206" s="202"/>
      <c r="B206" s="203"/>
      <c r="C206" s="203" t="s">
        <v>526</v>
      </c>
      <c r="D206" s="200">
        <f t="shared" si="138"/>
        <v>5.478142</v>
      </c>
      <c r="E206" s="204">
        <f t="shared" si="139"/>
        <v>5.478142</v>
      </c>
      <c r="F206" s="205"/>
      <c r="G206" s="205">
        <v>5.478142</v>
      </c>
      <c r="H206" s="205"/>
      <c r="I206" s="204">
        <f t="shared" si="140"/>
        <v>0</v>
      </c>
      <c r="J206" s="212"/>
      <c r="K206" s="205"/>
      <c r="L206" s="205"/>
      <c r="M206" s="213"/>
      <c r="N206" s="176">
        <f t="shared" si="141"/>
        <v>5.478142</v>
      </c>
    </row>
    <row r="207" ht="37.05" hidden="1" customHeight="1" spans="1:14">
      <c r="A207" s="202"/>
      <c r="B207" s="203"/>
      <c r="C207" s="203" t="s">
        <v>526</v>
      </c>
      <c r="D207" s="200">
        <f t="shared" si="138"/>
        <v>7.063763</v>
      </c>
      <c r="E207" s="204">
        <f t="shared" si="139"/>
        <v>7.063763</v>
      </c>
      <c r="F207" s="205"/>
      <c r="G207" s="205">
        <v>7.063763</v>
      </c>
      <c r="H207" s="205"/>
      <c r="I207" s="204">
        <f t="shared" si="140"/>
        <v>0</v>
      </c>
      <c r="J207" s="212"/>
      <c r="K207" s="205"/>
      <c r="L207" s="205"/>
      <c r="M207" s="213"/>
      <c r="N207" s="176">
        <f t="shared" si="141"/>
        <v>7.063763</v>
      </c>
    </row>
    <row r="208" ht="26.25" hidden="1" customHeight="1" spans="1:14">
      <c r="A208" s="202"/>
      <c r="B208" s="203"/>
      <c r="C208" s="203" t="s">
        <v>526</v>
      </c>
      <c r="D208" s="200">
        <f t="shared" si="138"/>
        <v>11.351694</v>
      </c>
      <c r="E208" s="204">
        <f t="shared" si="139"/>
        <v>11.351694</v>
      </c>
      <c r="F208" s="205"/>
      <c r="G208" s="205">
        <v>11.351694</v>
      </c>
      <c r="H208" s="205"/>
      <c r="I208" s="204">
        <f t="shared" si="140"/>
        <v>0</v>
      </c>
      <c r="J208" s="212"/>
      <c r="K208" s="205"/>
      <c r="L208" s="205"/>
      <c r="M208" s="213"/>
      <c r="N208" s="176">
        <f t="shared" si="141"/>
        <v>11.351694</v>
      </c>
    </row>
    <row r="209" ht="26.25" hidden="1" customHeight="1" spans="1:14">
      <c r="A209" s="202"/>
      <c r="B209" s="203"/>
      <c r="C209" s="203" t="s">
        <v>526</v>
      </c>
      <c r="D209" s="200">
        <f t="shared" si="138"/>
        <v>17.132078</v>
      </c>
      <c r="E209" s="204">
        <f t="shared" si="139"/>
        <v>17.132078</v>
      </c>
      <c r="F209" s="205"/>
      <c r="G209" s="205">
        <v>17.132078</v>
      </c>
      <c r="H209" s="205"/>
      <c r="I209" s="204">
        <f t="shared" si="140"/>
        <v>0</v>
      </c>
      <c r="J209" s="212"/>
      <c r="K209" s="205"/>
      <c r="L209" s="205"/>
      <c r="M209" s="213"/>
      <c r="N209" s="176">
        <f t="shared" si="141"/>
        <v>17.132078</v>
      </c>
    </row>
    <row r="210" ht="26.25" hidden="1" customHeight="1" spans="1:14">
      <c r="A210" s="202"/>
      <c r="B210" s="203"/>
      <c r="C210" s="203" t="s">
        <v>526</v>
      </c>
      <c r="D210" s="200">
        <f t="shared" si="138"/>
        <v>17.038504</v>
      </c>
      <c r="E210" s="204">
        <f t="shared" si="139"/>
        <v>17.038504</v>
      </c>
      <c r="F210" s="205"/>
      <c r="G210" s="205">
        <v>17.038504</v>
      </c>
      <c r="H210" s="205"/>
      <c r="I210" s="204">
        <f t="shared" si="140"/>
        <v>0</v>
      </c>
      <c r="J210" s="212"/>
      <c r="K210" s="205"/>
      <c r="L210" s="205"/>
      <c r="M210" s="213"/>
      <c r="N210" s="176">
        <f t="shared" si="141"/>
        <v>17.038504</v>
      </c>
    </row>
    <row r="211" ht="26.25" hidden="1" customHeight="1" spans="1:14">
      <c r="A211" s="202"/>
      <c r="B211" s="203"/>
      <c r="C211" s="203" t="s">
        <v>526</v>
      </c>
      <c r="D211" s="200">
        <f t="shared" si="138"/>
        <v>21.682778</v>
      </c>
      <c r="E211" s="204">
        <f t="shared" si="139"/>
        <v>21.682778</v>
      </c>
      <c r="F211" s="205"/>
      <c r="G211" s="205">
        <v>21.682778</v>
      </c>
      <c r="H211" s="205"/>
      <c r="I211" s="204">
        <f t="shared" si="140"/>
        <v>0</v>
      </c>
      <c r="J211" s="212"/>
      <c r="K211" s="205"/>
      <c r="L211" s="205"/>
      <c r="M211" s="213"/>
      <c r="N211" s="176">
        <f t="shared" si="141"/>
        <v>21.682778</v>
      </c>
    </row>
    <row r="212" ht="42" hidden="1" customHeight="1" spans="1:14">
      <c r="A212" s="202"/>
      <c r="B212" s="203"/>
      <c r="C212" s="203" t="s">
        <v>526</v>
      </c>
      <c r="D212" s="200">
        <f t="shared" si="138"/>
        <v>11.239914</v>
      </c>
      <c r="E212" s="204">
        <f t="shared" si="139"/>
        <v>11.239914</v>
      </c>
      <c r="F212" s="205"/>
      <c r="G212" s="205">
        <v>11.239914</v>
      </c>
      <c r="H212" s="205"/>
      <c r="I212" s="204">
        <f t="shared" si="140"/>
        <v>0</v>
      </c>
      <c r="J212" s="212"/>
      <c r="K212" s="205"/>
      <c r="L212" s="205"/>
      <c r="M212" s="213"/>
      <c r="N212" s="176">
        <f t="shared" si="141"/>
        <v>11.239914</v>
      </c>
    </row>
    <row r="213" ht="26.25" hidden="1" customHeight="1" spans="1:14">
      <c r="A213" s="202"/>
      <c r="B213" s="203"/>
      <c r="C213" s="203" t="s">
        <v>526</v>
      </c>
      <c r="D213" s="200">
        <f t="shared" si="138"/>
        <v>21.998634</v>
      </c>
      <c r="E213" s="204">
        <f t="shared" si="139"/>
        <v>21.998634</v>
      </c>
      <c r="F213" s="205"/>
      <c r="G213" s="205">
        <v>21.998634</v>
      </c>
      <c r="H213" s="205"/>
      <c r="I213" s="204">
        <f t="shared" si="140"/>
        <v>0</v>
      </c>
      <c r="J213" s="212"/>
      <c r="K213" s="205"/>
      <c r="L213" s="205"/>
      <c r="M213" s="213"/>
      <c r="N213" s="176">
        <f t="shared" si="141"/>
        <v>21.998634</v>
      </c>
    </row>
    <row r="214" ht="26.25" hidden="1" customHeight="1" spans="1:14">
      <c r="A214" s="202"/>
      <c r="B214" s="203"/>
      <c r="C214" s="203" t="s">
        <v>526</v>
      </c>
      <c r="D214" s="200">
        <f t="shared" ref="D214:D277" si="142">E214+I214</f>
        <v>21.269028</v>
      </c>
      <c r="E214" s="204">
        <f t="shared" ref="E214:E277" si="143">SUM(F214:H214)</f>
        <v>21.269028</v>
      </c>
      <c r="F214" s="205"/>
      <c r="G214" s="205">
        <v>21.269028</v>
      </c>
      <c r="H214" s="205"/>
      <c r="I214" s="204">
        <f t="shared" ref="I214:I277" si="144">SUM(J214:L214)</f>
        <v>0</v>
      </c>
      <c r="J214" s="212"/>
      <c r="K214" s="205"/>
      <c r="L214" s="205"/>
      <c r="M214" s="213"/>
      <c r="N214" s="176">
        <f t="shared" si="141"/>
        <v>21.269028</v>
      </c>
    </row>
    <row r="215" ht="26.25" hidden="1" customHeight="1" spans="1:14">
      <c r="A215" s="202"/>
      <c r="B215" s="203"/>
      <c r="C215" s="203" t="s">
        <v>526</v>
      </c>
      <c r="D215" s="200">
        <f t="shared" si="142"/>
        <v>14.756851</v>
      </c>
      <c r="E215" s="204">
        <f t="shared" si="143"/>
        <v>14.756851</v>
      </c>
      <c r="F215" s="205"/>
      <c r="G215" s="205">
        <v>14.756851</v>
      </c>
      <c r="H215" s="205"/>
      <c r="I215" s="204">
        <f t="shared" si="144"/>
        <v>0</v>
      </c>
      <c r="J215" s="212"/>
      <c r="K215" s="205"/>
      <c r="L215" s="205"/>
      <c r="M215" s="213"/>
      <c r="N215" s="176">
        <f t="shared" si="141"/>
        <v>14.756851</v>
      </c>
    </row>
    <row r="216" ht="26.25" hidden="1" customHeight="1" spans="1:14">
      <c r="A216" s="202"/>
      <c r="B216" s="203"/>
      <c r="C216" s="203" t="s">
        <v>526</v>
      </c>
      <c r="D216" s="200">
        <f t="shared" si="142"/>
        <v>37.116662</v>
      </c>
      <c r="E216" s="204">
        <f t="shared" si="143"/>
        <v>37.116662</v>
      </c>
      <c r="F216" s="205"/>
      <c r="G216" s="205">
        <v>37.116662</v>
      </c>
      <c r="H216" s="205"/>
      <c r="I216" s="204">
        <f t="shared" si="144"/>
        <v>0</v>
      </c>
      <c r="J216" s="212"/>
      <c r="K216" s="205"/>
      <c r="L216" s="205"/>
      <c r="M216" s="213"/>
      <c r="N216" s="176">
        <f t="shared" si="141"/>
        <v>37.116662</v>
      </c>
    </row>
    <row r="217" ht="26.25" hidden="1" customHeight="1" spans="1:14">
      <c r="A217" s="202"/>
      <c r="B217" s="203"/>
      <c r="C217" s="203" t="s">
        <v>526</v>
      </c>
      <c r="D217" s="200">
        <f t="shared" si="142"/>
        <v>39.960942</v>
      </c>
      <c r="E217" s="204">
        <f t="shared" si="143"/>
        <v>39.960942</v>
      </c>
      <c r="F217" s="205"/>
      <c r="G217" s="205">
        <v>39.960942</v>
      </c>
      <c r="H217" s="205"/>
      <c r="I217" s="204">
        <f t="shared" si="144"/>
        <v>0</v>
      </c>
      <c r="J217" s="212"/>
      <c r="K217" s="205"/>
      <c r="L217" s="205"/>
      <c r="M217" s="213"/>
      <c r="N217" s="176">
        <f t="shared" si="141"/>
        <v>39.960942</v>
      </c>
    </row>
    <row r="218" ht="26.25" hidden="1" customHeight="1" spans="1:14">
      <c r="A218" s="202"/>
      <c r="B218" s="203"/>
      <c r="C218" s="203" t="s">
        <v>526</v>
      </c>
      <c r="D218" s="200">
        <f t="shared" si="142"/>
        <v>28.470862</v>
      </c>
      <c r="E218" s="204">
        <f t="shared" si="143"/>
        <v>28.470862</v>
      </c>
      <c r="F218" s="205"/>
      <c r="G218" s="205">
        <v>28.470862</v>
      </c>
      <c r="H218" s="205"/>
      <c r="I218" s="204">
        <f t="shared" si="144"/>
        <v>0</v>
      </c>
      <c r="J218" s="212"/>
      <c r="K218" s="205"/>
      <c r="L218" s="205"/>
      <c r="M218" s="213"/>
      <c r="N218" s="176">
        <f t="shared" si="141"/>
        <v>28.470862</v>
      </c>
    </row>
    <row r="219" ht="26.25" hidden="1" customHeight="1" spans="1:14">
      <c r="A219" s="202"/>
      <c r="B219" s="203"/>
      <c r="C219" s="203" t="s">
        <v>526</v>
      </c>
      <c r="D219" s="200">
        <f t="shared" si="142"/>
        <v>23.598576</v>
      </c>
      <c r="E219" s="204">
        <f t="shared" si="143"/>
        <v>23.598576</v>
      </c>
      <c r="F219" s="205"/>
      <c r="G219" s="205">
        <v>23.598576</v>
      </c>
      <c r="H219" s="205"/>
      <c r="I219" s="204">
        <f t="shared" si="144"/>
        <v>0</v>
      </c>
      <c r="J219" s="212"/>
      <c r="K219" s="205"/>
      <c r="L219" s="205"/>
      <c r="M219" s="213"/>
      <c r="N219" s="176">
        <f t="shared" si="141"/>
        <v>23.598576</v>
      </c>
    </row>
    <row r="220" ht="26.25" hidden="1" customHeight="1" spans="1:14">
      <c r="A220" s="202"/>
      <c r="B220" s="203"/>
      <c r="C220" s="203" t="s">
        <v>526</v>
      </c>
      <c r="D220" s="200">
        <f t="shared" si="142"/>
        <v>18.193332</v>
      </c>
      <c r="E220" s="204">
        <f t="shared" si="143"/>
        <v>18.193332</v>
      </c>
      <c r="F220" s="205"/>
      <c r="G220" s="205">
        <v>18.193332</v>
      </c>
      <c r="H220" s="205"/>
      <c r="I220" s="204">
        <f t="shared" si="144"/>
        <v>0</v>
      </c>
      <c r="J220" s="212"/>
      <c r="K220" s="205"/>
      <c r="L220" s="205"/>
      <c r="M220" s="213"/>
      <c r="N220" s="176">
        <f t="shared" si="141"/>
        <v>18.193332</v>
      </c>
    </row>
    <row r="221" ht="26.25" hidden="1" customHeight="1" spans="1:14">
      <c r="A221" s="202"/>
      <c r="B221" s="203"/>
      <c r="C221" s="203" t="s">
        <v>526</v>
      </c>
      <c r="D221" s="200">
        <f t="shared" si="142"/>
        <v>22.05275</v>
      </c>
      <c r="E221" s="204">
        <f t="shared" si="143"/>
        <v>22.05275</v>
      </c>
      <c r="F221" s="205"/>
      <c r="G221" s="205">
        <v>22.05275</v>
      </c>
      <c r="H221" s="205"/>
      <c r="I221" s="204">
        <f t="shared" si="144"/>
        <v>0</v>
      </c>
      <c r="J221" s="212"/>
      <c r="K221" s="205"/>
      <c r="L221" s="205"/>
      <c r="M221" s="213"/>
      <c r="N221" s="176">
        <f t="shared" si="141"/>
        <v>22.05275</v>
      </c>
    </row>
    <row r="222" ht="26.25" hidden="1" customHeight="1" spans="1:14">
      <c r="A222" s="202"/>
      <c r="B222" s="203"/>
      <c r="C222" s="203" t="s">
        <v>526</v>
      </c>
      <c r="D222" s="200">
        <f t="shared" si="142"/>
        <v>12.389054</v>
      </c>
      <c r="E222" s="204">
        <f t="shared" si="143"/>
        <v>12.389054</v>
      </c>
      <c r="F222" s="205"/>
      <c r="G222" s="205">
        <v>12.389054</v>
      </c>
      <c r="H222" s="205"/>
      <c r="I222" s="204">
        <f t="shared" si="144"/>
        <v>0</v>
      </c>
      <c r="J222" s="212"/>
      <c r="K222" s="205"/>
      <c r="L222" s="205"/>
      <c r="M222" s="213"/>
      <c r="N222" s="176">
        <f t="shared" si="141"/>
        <v>12.389054</v>
      </c>
    </row>
    <row r="223" ht="26.25" hidden="1" customHeight="1" spans="1:14">
      <c r="A223" s="202"/>
      <c r="B223" s="203"/>
      <c r="C223" s="203" t="s">
        <v>526</v>
      </c>
      <c r="D223" s="200">
        <f t="shared" si="142"/>
        <v>7.799872</v>
      </c>
      <c r="E223" s="204">
        <f t="shared" si="143"/>
        <v>7.799872</v>
      </c>
      <c r="F223" s="205"/>
      <c r="G223" s="205">
        <v>7.799872</v>
      </c>
      <c r="H223" s="205"/>
      <c r="I223" s="204">
        <f t="shared" si="144"/>
        <v>0</v>
      </c>
      <c r="J223" s="212"/>
      <c r="K223" s="205"/>
      <c r="L223" s="205"/>
      <c r="M223" s="213"/>
      <c r="N223" s="176">
        <f t="shared" si="141"/>
        <v>7.799872</v>
      </c>
    </row>
    <row r="224" ht="26.25" hidden="1" customHeight="1" spans="1:14">
      <c r="A224" s="202"/>
      <c r="B224" s="203"/>
      <c r="C224" s="203" t="s">
        <v>526</v>
      </c>
      <c r="D224" s="200">
        <f t="shared" si="142"/>
        <v>11.94249</v>
      </c>
      <c r="E224" s="204">
        <f t="shared" si="143"/>
        <v>11.94249</v>
      </c>
      <c r="F224" s="205"/>
      <c r="G224" s="205">
        <v>11.94249</v>
      </c>
      <c r="H224" s="205"/>
      <c r="I224" s="204">
        <f t="shared" si="144"/>
        <v>0</v>
      </c>
      <c r="J224" s="212"/>
      <c r="K224" s="205"/>
      <c r="L224" s="205"/>
      <c r="M224" s="213"/>
      <c r="N224" s="176">
        <f t="shared" si="141"/>
        <v>11.94249</v>
      </c>
    </row>
    <row r="225" ht="26.25" hidden="1" customHeight="1" spans="1:14">
      <c r="A225" s="202"/>
      <c r="B225" s="203"/>
      <c r="C225" s="203" t="s">
        <v>526</v>
      </c>
      <c r="D225" s="200">
        <f t="shared" si="142"/>
        <v>5.332206</v>
      </c>
      <c r="E225" s="204">
        <f t="shared" si="143"/>
        <v>5.332206</v>
      </c>
      <c r="F225" s="205"/>
      <c r="G225" s="205">
        <v>5.332206</v>
      </c>
      <c r="H225" s="205"/>
      <c r="I225" s="204">
        <f t="shared" si="144"/>
        <v>0</v>
      </c>
      <c r="J225" s="212"/>
      <c r="K225" s="205"/>
      <c r="L225" s="205"/>
      <c r="M225" s="213"/>
      <c r="N225" s="176">
        <f t="shared" si="141"/>
        <v>5.332206</v>
      </c>
    </row>
    <row r="226" ht="26.25" hidden="1" customHeight="1" spans="1:14">
      <c r="A226" s="202"/>
      <c r="B226" s="203"/>
      <c r="C226" s="203" t="s">
        <v>526</v>
      </c>
      <c r="D226" s="200">
        <f t="shared" si="142"/>
        <v>12.421486</v>
      </c>
      <c r="E226" s="204">
        <f t="shared" si="143"/>
        <v>12.421486</v>
      </c>
      <c r="F226" s="205"/>
      <c r="G226" s="205">
        <v>12.421486</v>
      </c>
      <c r="H226" s="205"/>
      <c r="I226" s="204">
        <f t="shared" si="144"/>
        <v>0</v>
      </c>
      <c r="J226" s="212"/>
      <c r="K226" s="205"/>
      <c r="L226" s="205"/>
      <c r="M226" s="213"/>
      <c r="N226" s="176">
        <f t="shared" si="141"/>
        <v>12.421486</v>
      </c>
    </row>
    <row r="227" ht="26.25" hidden="1" customHeight="1" spans="1:14">
      <c r="A227" s="202"/>
      <c r="B227" s="203"/>
      <c r="C227" s="203" t="s">
        <v>526</v>
      </c>
      <c r="D227" s="200">
        <f t="shared" si="142"/>
        <v>6.884996</v>
      </c>
      <c r="E227" s="204">
        <f t="shared" si="143"/>
        <v>6.884996</v>
      </c>
      <c r="F227" s="205"/>
      <c r="G227" s="205">
        <v>6.884996</v>
      </c>
      <c r="H227" s="205"/>
      <c r="I227" s="204">
        <f t="shared" si="144"/>
        <v>0</v>
      </c>
      <c r="J227" s="212"/>
      <c r="K227" s="205"/>
      <c r="L227" s="205"/>
      <c r="M227" s="213"/>
      <c r="N227" s="176">
        <f t="shared" si="141"/>
        <v>6.884996</v>
      </c>
    </row>
    <row r="228" ht="26.25" hidden="1" customHeight="1" spans="1:14">
      <c r="A228" s="202"/>
      <c r="B228" s="203"/>
      <c r="C228" s="203" t="s">
        <v>526</v>
      </c>
      <c r="D228" s="200">
        <f t="shared" si="142"/>
        <v>9.424554</v>
      </c>
      <c r="E228" s="204">
        <f t="shared" si="143"/>
        <v>9.424554</v>
      </c>
      <c r="F228" s="205"/>
      <c r="G228" s="205">
        <v>9.424554</v>
      </c>
      <c r="H228" s="205"/>
      <c r="I228" s="204">
        <f t="shared" si="144"/>
        <v>0</v>
      </c>
      <c r="J228" s="212"/>
      <c r="K228" s="205"/>
      <c r="L228" s="205"/>
      <c r="M228" s="213"/>
      <c r="N228" s="176">
        <f t="shared" si="141"/>
        <v>9.424554</v>
      </c>
    </row>
    <row r="229" ht="26.25" hidden="1" customHeight="1" spans="1:14">
      <c r="A229" s="202"/>
      <c r="B229" s="203"/>
      <c r="C229" s="203" t="s">
        <v>526</v>
      </c>
      <c r="D229" s="200">
        <f t="shared" si="142"/>
        <v>16.023826</v>
      </c>
      <c r="E229" s="204">
        <f t="shared" si="143"/>
        <v>16.023826</v>
      </c>
      <c r="F229" s="205"/>
      <c r="G229" s="205">
        <v>16.023826</v>
      </c>
      <c r="H229" s="205"/>
      <c r="I229" s="204">
        <f t="shared" si="144"/>
        <v>0</v>
      </c>
      <c r="J229" s="212"/>
      <c r="K229" s="205"/>
      <c r="L229" s="205"/>
      <c r="M229" s="213"/>
      <c r="N229" s="176">
        <f t="shared" si="141"/>
        <v>16.023826</v>
      </c>
    </row>
    <row r="230" ht="26.25" hidden="1" customHeight="1" spans="1:14">
      <c r="A230" s="202"/>
      <c r="B230" s="203"/>
      <c r="C230" s="203" t="s">
        <v>526</v>
      </c>
      <c r="D230" s="200">
        <f t="shared" si="142"/>
        <v>15.253856</v>
      </c>
      <c r="E230" s="204">
        <f t="shared" si="143"/>
        <v>15.253856</v>
      </c>
      <c r="F230" s="205"/>
      <c r="G230" s="205">
        <v>15.253856</v>
      </c>
      <c r="H230" s="205"/>
      <c r="I230" s="204">
        <f t="shared" si="144"/>
        <v>0</v>
      </c>
      <c r="J230" s="212"/>
      <c r="K230" s="205"/>
      <c r="L230" s="205"/>
      <c r="M230" s="213"/>
      <c r="N230" s="176">
        <f t="shared" si="141"/>
        <v>15.253856</v>
      </c>
    </row>
    <row r="231" ht="26.25" hidden="1" customHeight="1" spans="1:14">
      <c r="A231" s="202"/>
      <c r="B231" s="203"/>
      <c r="C231" s="203" t="s">
        <v>526</v>
      </c>
      <c r="D231" s="200">
        <f t="shared" si="142"/>
        <v>12.764962</v>
      </c>
      <c r="E231" s="204">
        <f t="shared" si="143"/>
        <v>12.764962</v>
      </c>
      <c r="F231" s="205"/>
      <c r="G231" s="205">
        <v>12.764962</v>
      </c>
      <c r="H231" s="205"/>
      <c r="I231" s="204">
        <f t="shared" si="144"/>
        <v>0</v>
      </c>
      <c r="J231" s="212"/>
      <c r="K231" s="205"/>
      <c r="L231" s="205"/>
      <c r="M231" s="213"/>
      <c r="N231" s="176">
        <f t="shared" si="141"/>
        <v>12.764962</v>
      </c>
    </row>
    <row r="232" ht="26.25" hidden="1" customHeight="1" spans="1:14">
      <c r="A232" s="202"/>
      <c r="B232" s="203"/>
      <c r="C232" s="203" t="s">
        <v>526</v>
      </c>
      <c r="D232" s="200">
        <f t="shared" si="142"/>
        <v>51.312474</v>
      </c>
      <c r="E232" s="204">
        <f t="shared" si="143"/>
        <v>51.312474</v>
      </c>
      <c r="F232" s="205"/>
      <c r="G232" s="205">
        <v>51.312474</v>
      </c>
      <c r="H232" s="205"/>
      <c r="I232" s="204">
        <f t="shared" si="144"/>
        <v>0</v>
      </c>
      <c r="J232" s="212"/>
      <c r="K232" s="205"/>
      <c r="L232" s="205"/>
      <c r="M232" s="213"/>
      <c r="N232" s="176">
        <f t="shared" si="141"/>
        <v>51.312474</v>
      </c>
    </row>
    <row r="233" ht="26.25" hidden="1" customHeight="1" spans="1:14">
      <c r="A233" s="202"/>
      <c r="B233" s="203"/>
      <c r="C233" s="203" t="s">
        <v>526</v>
      </c>
      <c r="D233" s="200">
        <f t="shared" si="142"/>
        <v>23.171998</v>
      </c>
      <c r="E233" s="204">
        <f t="shared" si="143"/>
        <v>23.171998</v>
      </c>
      <c r="F233" s="205"/>
      <c r="G233" s="205">
        <v>23.171998</v>
      </c>
      <c r="H233" s="205"/>
      <c r="I233" s="204">
        <f t="shared" si="144"/>
        <v>0</v>
      </c>
      <c r="J233" s="212"/>
      <c r="K233" s="205"/>
      <c r="L233" s="205"/>
      <c r="M233" s="213"/>
      <c r="N233" s="176">
        <f t="shared" si="141"/>
        <v>23.171998</v>
      </c>
    </row>
    <row r="234" ht="26.25" hidden="1" customHeight="1" spans="1:14">
      <c r="A234" s="202"/>
      <c r="B234" s="203"/>
      <c r="C234" s="203" t="s">
        <v>526</v>
      </c>
      <c r="D234" s="200">
        <f t="shared" si="142"/>
        <v>9.640899</v>
      </c>
      <c r="E234" s="204">
        <f t="shared" si="143"/>
        <v>9.640899</v>
      </c>
      <c r="F234" s="205"/>
      <c r="G234" s="205">
        <v>9.640899</v>
      </c>
      <c r="H234" s="205"/>
      <c r="I234" s="204">
        <f t="shared" si="144"/>
        <v>0</v>
      </c>
      <c r="J234" s="212"/>
      <c r="K234" s="205"/>
      <c r="L234" s="205"/>
      <c r="M234" s="213"/>
      <c r="N234" s="176">
        <f t="shared" si="141"/>
        <v>9.640899</v>
      </c>
    </row>
    <row r="235" ht="26.25" hidden="1" customHeight="1" spans="1:14">
      <c r="A235" s="202"/>
      <c r="B235" s="203"/>
      <c r="C235" s="203" t="s">
        <v>526</v>
      </c>
      <c r="D235" s="200">
        <f t="shared" si="142"/>
        <v>5.44523</v>
      </c>
      <c r="E235" s="204">
        <f t="shared" si="143"/>
        <v>5.44523</v>
      </c>
      <c r="F235" s="205"/>
      <c r="G235" s="205">
        <v>5.44523</v>
      </c>
      <c r="H235" s="205"/>
      <c r="I235" s="204">
        <f t="shared" si="144"/>
        <v>0</v>
      </c>
      <c r="J235" s="212"/>
      <c r="K235" s="205"/>
      <c r="L235" s="205"/>
      <c r="M235" s="213"/>
      <c r="N235" s="176">
        <f t="shared" si="141"/>
        <v>5.44523</v>
      </c>
    </row>
    <row r="236" ht="26.25" hidden="1" customHeight="1" spans="1:14">
      <c r="A236" s="202"/>
      <c r="B236" s="203"/>
      <c r="C236" s="203" t="s">
        <v>527</v>
      </c>
      <c r="D236" s="200">
        <f t="shared" si="142"/>
        <v>4.172684</v>
      </c>
      <c r="E236" s="204">
        <f t="shared" si="143"/>
        <v>4.172684</v>
      </c>
      <c r="F236" s="205"/>
      <c r="G236" s="205">
        <v>4.172684</v>
      </c>
      <c r="H236" s="205"/>
      <c r="I236" s="204">
        <f t="shared" si="144"/>
        <v>0</v>
      </c>
      <c r="J236" s="212"/>
      <c r="K236" s="205"/>
      <c r="L236" s="205"/>
      <c r="M236" s="213"/>
      <c r="N236" s="176">
        <f t="shared" si="141"/>
        <v>4.172684</v>
      </c>
    </row>
    <row r="237" ht="26.25" hidden="1" customHeight="1" spans="1:14">
      <c r="A237" s="202"/>
      <c r="B237" s="203"/>
      <c r="C237" s="203" t="s">
        <v>527</v>
      </c>
      <c r="D237" s="200">
        <f t="shared" si="142"/>
        <v>1.353136</v>
      </c>
      <c r="E237" s="204">
        <f t="shared" si="143"/>
        <v>1.353136</v>
      </c>
      <c r="F237" s="205"/>
      <c r="G237" s="205">
        <v>1.353136</v>
      </c>
      <c r="H237" s="205"/>
      <c r="I237" s="204">
        <f t="shared" si="144"/>
        <v>0</v>
      </c>
      <c r="J237" s="212"/>
      <c r="K237" s="205"/>
      <c r="L237" s="205"/>
      <c r="M237" s="213"/>
      <c r="N237" s="176">
        <f t="shared" si="141"/>
        <v>1.353136</v>
      </c>
    </row>
    <row r="238" ht="26.25" hidden="1" customHeight="1" spans="1:14">
      <c r="A238" s="202"/>
      <c r="B238" s="203"/>
      <c r="C238" s="203" t="s">
        <v>527</v>
      </c>
      <c r="D238" s="200">
        <f t="shared" si="142"/>
        <v>3.505072</v>
      </c>
      <c r="E238" s="204">
        <f t="shared" si="143"/>
        <v>3.505072</v>
      </c>
      <c r="F238" s="205"/>
      <c r="G238" s="205">
        <v>3.505072</v>
      </c>
      <c r="H238" s="205"/>
      <c r="I238" s="204">
        <f t="shared" si="144"/>
        <v>0</v>
      </c>
      <c r="J238" s="212"/>
      <c r="K238" s="205"/>
      <c r="L238" s="205"/>
      <c r="M238" s="213"/>
      <c r="N238" s="176">
        <f t="shared" si="141"/>
        <v>3.505072</v>
      </c>
    </row>
    <row r="239" ht="26.25" hidden="1" customHeight="1" spans="1:14">
      <c r="A239" s="202"/>
      <c r="B239" s="203"/>
      <c r="C239" s="203" t="s">
        <v>527</v>
      </c>
      <c r="D239" s="200">
        <f t="shared" si="142"/>
        <v>1.364272</v>
      </c>
      <c r="E239" s="204">
        <f t="shared" si="143"/>
        <v>1.364272</v>
      </c>
      <c r="F239" s="205"/>
      <c r="G239" s="205">
        <v>1.364272</v>
      </c>
      <c r="H239" s="205"/>
      <c r="I239" s="204">
        <f t="shared" si="144"/>
        <v>0</v>
      </c>
      <c r="J239" s="212"/>
      <c r="K239" s="205"/>
      <c r="L239" s="205"/>
      <c r="M239" s="213"/>
      <c r="N239" s="176">
        <f t="shared" si="141"/>
        <v>1.364272</v>
      </c>
    </row>
    <row r="240" ht="26.25" hidden="1" customHeight="1" spans="1:14">
      <c r="A240" s="202"/>
      <c r="B240" s="203"/>
      <c r="C240" s="203" t="s">
        <v>527</v>
      </c>
      <c r="D240" s="200">
        <f t="shared" si="142"/>
        <v>1.552832</v>
      </c>
      <c r="E240" s="204">
        <f t="shared" si="143"/>
        <v>1.552832</v>
      </c>
      <c r="F240" s="205"/>
      <c r="G240" s="205">
        <v>1.552832</v>
      </c>
      <c r="H240" s="205"/>
      <c r="I240" s="204">
        <f t="shared" si="144"/>
        <v>0</v>
      </c>
      <c r="J240" s="212"/>
      <c r="K240" s="205"/>
      <c r="L240" s="205"/>
      <c r="M240" s="213"/>
      <c r="N240" s="176">
        <f t="shared" si="141"/>
        <v>1.552832</v>
      </c>
    </row>
    <row r="241" ht="26.25" hidden="1" customHeight="1" spans="1:14">
      <c r="A241" s="202"/>
      <c r="B241" s="203"/>
      <c r="C241" s="203" t="s">
        <v>528</v>
      </c>
      <c r="D241" s="200">
        <f t="shared" si="142"/>
        <v>1.547748</v>
      </c>
      <c r="E241" s="204">
        <f t="shared" si="143"/>
        <v>1.547748</v>
      </c>
      <c r="F241" s="205"/>
      <c r="G241" s="205">
        <v>1.547748</v>
      </c>
      <c r="H241" s="205"/>
      <c r="I241" s="204">
        <f t="shared" si="144"/>
        <v>0</v>
      </c>
      <c r="J241" s="212"/>
      <c r="K241" s="205"/>
      <c r="L241" s="205"/>
      <c r="M241" s="213"/>
      <c r="N241" s="176">
        <f t="shared" si="141"/>
        <v>1.547748</v>
      </c>
    </row>
    <row r="242" ht="45" hidden="1" customHeight="1" spans="1:14">
      <c r="A242" s="202"/>
      <c r="B242" s="203"/>
      <c r="C242" s="203" t="s">
        <v>529</v>
      </c>
      <c r="D242" s="200">
        <f t="shared" si="142"/>
        <v>4.455298</v>
      </c>
      <c r="E242" s="204">
        <f t="shared" si="143"/>
        <v>4.455298</v>
      </c>
      <c r="F242" s="205"/>
      <c r="G242" s="205">
        <v>4.455298</v>
      </c>
      <c r="H242" s="205"/>
      <c r="I242" s="204">
        <f t="shared" si="144"/>
        <v>0</v>
      </c>
      <c r="J242" s="212"/>
      <c r="K242" s="205"/>
      <c r="L242" s="205"/>
      <c r="M242" s="213"/>
      <c r="N242" s="176">
        <f t="shared" si="141"/>
        <v>4.455298</v>
      </c>
    </row>
    <row r="243" ht="26.25" hidden="1" customHeight="1" spans="1:14">
      <c r="A243" s="202"/>
      <c r="B243" s="203"/>
      <c r="C243" s="203" t="s">
        <v>530</v>
      </c>
      <c r="D243" s="200">
        <f t="shared" si="142"/>
        <v>2.744316</v>
      </c>
      <c r="E243" s="204">
        <f t="shared" si="143"/>
        <v>2.744316</v>
      </c>
      <c r="F243" s="205"/>
      <c r="G243" s="205">
        <v>2.744316</v>
      </c>
      <c r="H243" s="205"/>
      <c r="I243" s="204">
        <f t="shared" si="144"/>
        <v>0</v>
      </c>
      <c r="J243" s="212"/>
      <c r="K243" s="205"/>
      <c r="L243" s="205"/>
      <c r="M243" s="213"/>
      <c r="N243" s="176">
        <f t="shared" si="141"/>
        <v>2.744316</v>
      </c>
    </row>
    <row r="244" ht="26.25" hidden="1" customHeight="1" spans="1:14">
      <c r="A244" s="202"/>
      <c r="B244" s="203"/>
      <c r="C244" s="203" t="s">
        <v>490</v>
      </c>
      <c r="D244" s="200">
        <f t="shared" si="142"/>
        <v>1.261696</v>
      </c>
      <c r="E244" s="204">
        <f t="shared" si="143"/>
        <v>1.261696</v>
      </c>
      <c r="F244" s="205"/>
      <c r="G244" s="205">
        <v>1.261696</v>
      </c>
      <c r="H244" s="205"/>
      <c r="I244" s="204">
        <f t="shared" si="144"/>
        <v>0</v>
      </c>
      <c r="J244" s="212"/>
      <c r="K244" s="205"/>
      <c r="L244" s="205"/>
      <c r="M244" s="213"/>
      <c r="N244" s="176">
        <f t="shared" si="141"/>
        <v>1.261696</v>
      </c>
    </row>
    <row r="245" ht="26.25" hidden="1" customHeight="1" spans="1:14">
      <c r="A245" s="202"/>
      <c r="B245" s="203"/>
      <c r="C245" s="203" t="s">
        <v>474</v>
      </c>
      <c r="D245" s="200">
        <f t="shared" si="142"/>
        <v>0.841874</v>
      </c>
      <c r="E245" s="204">
        <f t="shared" si="143"/>
        <v>0.841874</v>
      </c>
      <c r="F245" s="205"/>
      <c r="G245" s="205">
        <v>0.841874</v>
      </c>
      <c r="H245" s="205"/>
      <c r="I245" s="204">
        <f t="shared" si="144"/>
        <v>0</v>
      </c>
      <c r="J245" s="212"/>
      <c r="K245" s="205"/>
      <c r="L245" s="205"/>
      <c r="M245" s="213"/>
      <c r="N245" s="176">
        <f t="shared" si="141"/>
        <v>0.841874</v>
      </c>
    </row>
    <row r="246" ht="26.25" hidden="1" customHeight="1" spans="1:14">
      <c r="A246" s="202"/>
      <c r="B246" s="203"/>
      <c r="C246" s="203" t="s">
        <v>531</v>
      </c>
      <c r="D246" s="200">
        <f t="shared" si="142"/>
        <v>0.783436</v>
      </c>
      <c r="E246" s="204">
        <f t="shared" si="143"/>
        <v>0.783436</v>
      </c>
      <c r="F246" s="205"/>
      <c r="G246" s="205">
        <v>0.783436</v>
      </c>
      <c r="H246" s="205"/>
      <c r="I246" s="204">
        <f t="shared" si="144"/>
        <v>0</v>
      </c>
      <c r="J246" s="212"/>
      <c r="K246" s="205"/>
      <c r="L246" s="205"/>
      <c r="M246" s="213"/>
      <c r="N246" s="176">
        <f t="shared" si="141"/>
        <v>0.783436</v>
      </c>
    </row>
    <row r="247" ht="26.25" hidden="1" customHeight="1" spans="1:14">
      <c r="A247" s="202"/>
      <c r="B247" s="203"/>
      <c r="C247" s="203" t="s">
        <v>532</v>
      </c>
      <c r="D247" s="200">
        <f t="shared" si="142"/>
        <v>0.475928</v>
      </c>
      <c r="E247" s="204">
        <f t="shared" si="143"/>
        <v>0.475928</v>
      </c>
      <c r="F247" s="205"/>
      <c r="G247" s="205">
        <v>0.475928</v>
      </c>
      <c r="H247" s="205"/>
      <c r="I247" s="204">
        <f t="shared" si="144"/>
        <v>0</v>
      </c>
      <c r="J247" s="212"/>
      <c r="K247" s="205"/>
      <c r="L247" s="205"/>
      <c r="M247" s="213"/>
      <c r="N247" s="176">
        <f t="shared" si="141"/>
        <v>0.475928</v>
      </c>
    </row>
    <row r="248" ht="26.25" hidden="1" customHeight="1" spans="1:14">
      <c r="A248" s="202"/>
      <c r="B248" s="203"/>
      <c r="C248" s="203" t="s">
        <v>533</v>
      </c>
      <c r="D248" s="200">
        <f t="shared" si="142"/>
        <v>1.112282</v>
      </c>
      <c r="E248" s="204">
        <f t="shared" si="143"/>
        <v>1.112282</v>
      </c>
      <c r="F248" s="205"/>
      <c r="G248" s="205">
        <v>1.112282</v>
      </c>
      <c r="H248" s="205"/>
      <c r="I248" s="204">
        <f t="shared" si="144"/>
        <v>0</v>
      </c>
      <c r="J248" s="212"/>
      <c r="K248" s="205"/>
      <c r="L248" s="205"/>
      <c r="M248" s="213"/>
      <c r="N248" s="176">
        <f t="shared" si="141"/>
        <v>1.112282</v>
      </c>
    </row>
    <row r="249" ht="26.25" hidden="1" customHeight="1" spans="1:14">
      <c r="A249" s="202"/>
      <c r="B249" s="203"/>
      <c r="C249" s="203" t="s">
        <v>534</v>
      </c>
      <c r="D249" s="200">
        <f t="shared" si="142"/>
        <v>4.181158</v>
      </c>
      <c r="E249" s="204">
        <f t="shared" si="143"/>
        <v>4.181158</v>
      </c>
      <c r="F249" s="205"/>
      <c r="G249" s="205">
        <v>4.181158</v>
      </c>
      <c r="H249" s="205"/>
      <c r="I249" s="204">
        <f t="shared" si="144"/>
        <v>0</v>
      </c>
      <c r="J249" s="212"/>
      <c r="K249" s="205"/>
      <c r="L249" s="205"/>
      <c r="M249" s="213"/>
      <c r="N249" s="176">
        <f t="shared" si="141"/>
        <v>4.181158</v>
      </c>
    </row>
    <row r="250" ht="26.25" hidden="1" customHeight="1" spans="1:14">
      <c r="A250" s="202"/>
      <c r="B250" s="203"/>
      <c r="C250" s="203" t="s">
        <v>380</v>
      </c>
      <c r="D250" s="200">
        <f t="shared" si="142"/>
        <v>8.667968</v>
      </c>
      <c r="E250" s="204">
        <f t="shared" si="143"/>
        <v>8.667968</v>
      </c>
      <c r="F250" s="205"/>
      <c r="G250" s="205">
        <v>8.667968</v>
      </c>
      <c r="H250" s="205"/>
      <c r="I250" s="204">
        <f t="shared" si="144"/>
        <v>0</v>
      </c>
      <c r="J250" s="212"/>
      <c r="K250" s="205"/>
      <c r="L250" s="205"/>
      <c r="M250" s="213"/>
      <c r="N250" s="176">
        <f t="shared" si="141"/>
        <v>8.667968</v>
      </c>
    </row>
    <row r="251" ht="26.25" hidden="1" customHeight="1" spans="1:14">
      <c r="A251" s="202"/>
      <c r="B251" s="203"/>
      <c r="C251" s="203" t="s">
        <v>535</v>
      </c>
      <c r="D251" s="200">
        <f t="shared" si="142"/>
        <v>4.810316</v>
      </c>
      <c r="E251" s="204">
        <f t="shared" si="143"/>
        <v>4.810316</v>
      </c>
      <c r="F251" s="205"/>
      <c r="G251" s="205">
        <v>4.810316</v>
      </c>
      <c r="H251" s="205"/>
      <c r="I251" s="204">
        <f t="shared" si="144"/>
        <v>0</v>
      </c>
      <c r="J251" s="212"/>
      <c r="K251" s="205"/>
      <c r="L251" s="205"/>
      <c r="M251" s="213"/>
      <c r="N251" s="176">
        <f t="shared" si="141"/>
        <v>4.810316</v>
      </c>
    </row>
    <row r="252" ht="26.25" hidden="1" customHeight="1" spans="1:14">
      <c r="A252" s="202"/>
      <c r="B252" s="203"/>
      <c r="C252" s="203" t="s">
        <v>536</v>
      </c>
      <c r="D252" s="200">
        <f t="shared" si="142"/>
        <v>1.242144</v>
      </c>
      <c r="E252" s="204">
        <f t="shared" si="143"/>
        <v>1.242144</v>
      </c>
      <c r="F252" s="205"/>
      <c r="G252" s="205">
        <v>1.242144</v>
      </c>
      <c r="H252" s="205"/>
      <c r="I252" s="204">
        <f t="shared" si="144"/>
        <v>0</v>
      </c>
      <c r="J252" s="212"/>
      <c r="K252" s="205"/>
      <c r="L252" s="205"/>
      <c r="M252" s="213"/>
      <c r="N252" s="176">
        <f t="shared" si="141"/>
        <v>1.242144</v>
      </c>
    </row>
    <row r="253" ht="26.25" hidden="1" customHeight="1" spans="1:14">
      <c r="A253" s="202"/>
      <c r="B253" s="203"/>
      <c r="C253" s="203" t="s">
        <v>537</v>
      </c>
      <c r="D253" s="200">
        <f t="shared" si="142"/>
        <v>2.490704</v>
      </c>
      <c r="E253" s="204">
        <f t="shared" si="143"/>
        <v>2.490704</v>
      </c>
      <c r="F253" s="205"/>
      <c r="G253" s="205">
        <v>2.490704</v>
      </c>
      <c r="H253" s="205"/>
      <c r="I253" s="204">
        <f t="shared" si="144"/>
        <v>0</v>
      </c>
      <c r="J253" s="212"/>
      <c r="K253" s="205"/>
      <c r="L253" s="205"/>
      <c r="M253" s="213"/>
      <c r="N253" s="176">
        <f t="shared" si="141"/>
        <v>2.490704</v>
      </c>
    </row>
    <row r="254" ht="26.25" hidden="1" customHeight="1" spans="1:14">
      <c r="A254" s="202"/>
      <c r="B254" s="203"/>
      <c r="C254" s="203" t="s">
        <v>538</v>
      </c>
      <c r="D254" s="200">
        <f t="shared" si="142"/>
        <v>0.893872</v>
      </c>
      <c r="E254" s="204">
        <f t="shared" si="143"/>
        <v>0.893872</v>
      </c>
      <c r="F254" s="205"/>
      <c r="G254" s="205">
        <v>0.893872</v>
      </c>
      <c r="H254" s="205"/>
      <c r="I254" s="204">
        <f t="shared" si="144"/>
        <v>0</v>
      </c>
      <c r="J254" s="212"/>
      <c r="K254" s="205"/>
      <c r="L254" s="205"/>
      <c r="M254" s="213"/>
      <c r="N254" s="176">
        <f t="shared" si="141"/>
        <v>0.893872</v>
      </c>
    </row>
    <row r="255" ht="26.25" hidden="1" customHeight="1" spans="1:14">
      <c r="A255" s="202"/>
      <c r="B255" s="203"/>
      <c r="C255" s="203" t="s">
        <v>538</v>
      </c>
      <c r="D255" s="200">
        <f t="shared" si="142"/>
        <v>0.569784</v>
      </c>
      <c r="E255" s="204">
        <f t="shared" si="143"/>
        <v>0.569784</v>
      </c>
      <c r="F255" s="205"/>
      <c r="G255" s="205">
        <v>0.569784</v>
      </c>
      <c r="H255" s="205"/>
      <c r="I255" s="204">
        <f t="shared" si="144"/>
        <v>0</v>
      </c>
      <c r="J255" s="212"/>
      <c r="K255" s="205"/>
      <c r="L255" s="205"/>
      <c r="M255" s="213"/>
      <c r="N255" s="176">
        <f t="shared" si="141"/>
        <v>0.569784</v>
      </c>
    </row>
    <row r="256" ht="26.25" hidden="1" customHeight="1" spans="1:14">
      <c r="A256" s="202"/>
      <c r="B256" s="203"/>
      <c r="C256" s="203" t="s">
        <v>538</v>
      </c>
      <c r="D256" s="200">
        <f t="shared" si="142"/>
        <v>1.168848</v>
      </c>
      <c r="E256" s="204">
        <f t="shared" si="143"/>
        <v>1.168848</v>
      </c>
      <c r="F256" s="205"/>
      <c r="G256" s="205">
        <v>1.168848</v>
      </c>
      <c r="H256" s="205"/>
      <c r="I256" s="204">
        <f t="shared" si="144"/>
        <v>0</v>
      </c>
      <c r="J256" s="212"/>
      <c r="K256" s="205"/>
      <c r="L256" s="205"/>
      <c r="M256" s="213"/>
      <c r="N256" s="176">
        <f t="shared" si="141"/>
        <v>1.168848</v>
      </c>
    </row>
    <row r="257" ht="26.25" hidden="1" customHeight="1" spans="1:14">
      <c r="A257" s="202"/>
      <c r="B257" s="203"/>
      <c r="C257" s="203" t="s">
        <v>538</v>
      </c>
      <c r="D257" s="200">
        <f t="shared" si="142"/>
        <v>0.619434</v>
      </c>
      <c r="E257" s="204">
        <f t="shared" si="143"/>
        <v>0.619434</v>
      </c>
      <c r="F257" s="205"/>
      <c r="G257" s="205">
        <v>0.619434</v>
      </c>
      <c r="H257" s="205"/>
      <c r="I257" s="204">
        <f t="shared" si="144"/>
        <v>0</v>
      </c>
      <c r="J257" s="212"/>
      <c r="K257" s="205"/>
      <c r="L257" s="205"/>
      <c r="M257" s="213"/>
      <c r="N257" s="176">
        <f t="shared" si="141"/>
        <v>0.619434</v>
      </c>
    </row>
    <row r="258" ht="26.25" hidden="1" customHeight="1" spans="1:14">
      <c r="A258" s="202"/>
      <c r="B258" s="203"/>
      <c r="C258" s="203" t="s">
        <v>539</v>
      </c>
      <c r="D258" s="200">
        <f t="shared" si="142"/>
        <v>10.11819</v>
      </c>
      <c r="E258" s="204">
        <f t="shared" si="143"/>
        <v>10.11819</v>
      </c>
      <c r="F258" s="205"/>
      <c r="G258" s="205">
        <v>10.11819</v>
      </c>
      <c r="H258" s="205"/>
      <c r="I258" s="204">
        <f t="shared" si="144"/>
        <v>0</v>
      </c>
      <c r="J258" s="212"/>
      <c r="K258" s="205"/>
      <c r="L258" s="205"/>
      <c r="M258" s="213"/>
      <c r="N258" s="176">
        <f t="shared" si="141"/>
        <v>10.11819</v>
      </c>
    </row>
    <row r="259" ht="26.25" hidden="1" customHeight="1" spans="1:14">
      <c r="A259" s="202"/>
      <c r="B259" s="203"/>
      <c r="C259" s="203" t="s">
        <v>539</v>
      </c>
      <c r="D259" s="200">
        <f t="shared" si="142"/>
        <v>3.46296</v>
      </c>
      <c r="E259" s="204">
        <f t="shared" si="143"/>
        <v>3.46296</v>
      </c>
      <c r="F259" s="205"/>
      <c r="G259" s="205">
        <v>3.46296</v>
      </c>
      <c r="H259" s="205"/>
      <c r="I259" s="204">
        <f t="shared" si="144"/>
        <v>0</v>
      </c>
      <c r="J259" s="212"/>
      <c r="K259" s="205"/>
      <c r="L259" s="205"/>
      <c r="M259" s="213"/>
      <c r="N259" s="176">
        <f t="shared" si="141"/>
        <v>3.46296</v>
      </c>
    </row>
    <row r="260" ht="26.25" hidden="1" customHeight="1" spans="1:14">
      <c r="A260" s="202"/>
      <c r="B260" s="203"/>
      <c r="C260" s="203" t="s">
        <v>539</v>
      </c>
      <c r="D260" s="200">
        <f t="shared" si="142"/>
        <v>3.68804</v>
      </c>
      <c r="E260" s="204">
        <f t="shared" si="143"/>
        <v>3.68804</v>
      </c>
      <c r="F260" s="205"/>
      <c r="G260" s="205">
        <v>3.68804</v>
      </c>
      <c r="H260" s="205"/>
      <c r="I260" s="204">
        <f t="shared" si="144"/>
        <v>0</v>
      </c>
      <c r="J260" s="212"/>
      <c r="K260" s="205"/>
      <c r="L260" s="205"/>
      <c r="M260" s="213"/>
      <c r="N260" s="176">
        <f t="shared" si="141"/>
        <v>3.68804</v>
      </c>
    </row>
    <row r="261" ht="26.25" hidden="1" customHeight="1" spans="1:14">
      <c r="A261" s="202"/>
      <c r="B261" s="203"/>
      <c r="C261" s="203" t="s">
        <v>540</v>
      </c>
      <c r="D261" s="200">
        <f t="shared" si="142"/>
        <v>12.059194</v>
      </c>
      <c r="E261" s="204">
        <f t="shared" si="143"/>
        <v>12.059194</v>
      </c>
      <c r="F261" s="205"/>
      <c r="G261" s="205">
        <v>12.059194</v>
      </c>
      <c r="H261" s="205"/>
      <c r="I261" s="204">
        <f t="shared" si="144"/>
        <v>0</v>
      </c>
      <c r="J261" s="212"/>
      <c r="K261" s="205"/>
      <c r="L261" s="205"/>
      <c r="M261" s="213"/>
      <c r="N261" s="176">
        <f t="shared" si="141"/>
        <v>12.059194</v>
      </c>
    </row>
    <row r="262" ht="26.25" hidden="1" customHeight="1" spans="1:14">
      <c r="A262" s="202"/>
      <c r="B262" s="203"/>
      <c r="C262" s="203" t="s">
        <v>541</v>
      </c>
      <c r="D262" s="200">
        <f t="shared" si="142"/>
        <v>5.058592</v>
      </c>
      <c r="E262" s="204">
        <f t="shared" si="143"/>
        <v>5.058592</v>
      </c>
      <c r="F262" s="205"/>
      <c r="G262" s="205">
        <v>5.058592</v>
      </c>
      <c r="H262" s="205"/>
      <c r="I262" s="204">
        <f t="shared" si="144"/>
        <v>0</v>
      </c>
      <c r="J262" s="212"/>
      <c r="K262" s="205"/>
      <c r="L262" s="205"/>
      <c r="M262" s="213"/>
      <c r="N262" s="176">
        <f t="shared" si="141"/>
        <v>5.058592</v>
      </c>
    </row>
    <row r="263" ht="26.25" hidden="1" customHeight="1" spans="1:14">
      <c r="A263" s="202"/>
      <c r="B263" s="203"/>
      <c r="C263" s="203" t="s">
        <v>541</v>
      </c>
      <c r="D263" s="200">
        <f t="shared" si="142"/>
        <v>3.080776</v>
      </c>
      <c r="E263" s="204">
        <f t="shared" si="143"/>
        <v>3.080776</v>
      </c>
      <c r="F263" s="205"/>
      <c r="G263" s="205">
        <v>3.080776</v>
      </c>
      <c r="H263" s="205"/>
      <c r="I263" s="204">
        <f t="shared" si="144"/>
        <v>0</v>
      </c>
      <c r="J263" s="212"/>
      <c r="K263" s="205"/>
      <c r="L263" s="205"/>
      <c r="M263" s="213"/>
      <c r="N263" s="176">
        <f t="shared" si="141"/>
        <v>3.080776</v>
      </c>
    </row>
    <row r="264" ht="26.25" hidden="1" customHeight="1" spans="1:14">
      <c r="A264" s="202"/>
      <c r="B264" s="203"/>
      <c r="C264" s="203" t="s">
        <v>542</v>
      </c>
      <c r="D264" s="200">
        <f t="shared" si="142"/>
        <v>6.466908</v>
      </c>
      <c r="E264" s="204">
        <f t="shared" si="143"/>
        <v>6.466908</v>
      </c>
      <c r="F264" s="205"/>
      <c r="G264" s="205">
        <v>6.466908</v>
      </c>
      <c r="H264" s="205"/>
      <c r="I264" s="204">
        <f t="shared" si="144"/>
        <v>0</v>
      </c>
      <c r="J264" s="212"/>
      <c r="K264" s="205"/>
      <c r="L264" s="205"/>
      <c r="M264" s="213"/>
      <c r="N264" s="176">
        <f t="shared" si="141"/>
        <v>6.466908</v>
      </c>
    </row>
    <row r="265" ht="26.25" hidden="1" customHeight="1" spans="1:14">
      <c r="A265" s="202"/>
      <c r="B265" s="203"/>
      <c r="C265" s="203" t="s">
        <v>543</v>
      </c>
      <c r="D265" s="200">
        <f t="shared" si="142"/>
        <v>5.432796</v>
      </c>
      <c r="E265" s="204">
        <f t="shared" si="143"/>
        <v>5.432796</v>
      </c>
      <c r="F265" s="205"/>
      <c r="G265" s="205">
        <v>5.432796</v>
      </c>
      <c r="H265" s="205"/>
      <c r="I265" s="204">
        <f t="shared" si="144"/>
        <v>0</v>
      </c>
      <c r="J265" s="212"/>
      <c r="K265" s="205"/>
      <c r="L265" s="205"/>
      <c r="M265" s="213"/>
      <c r="N265" s="176">
        <f t="shared" ref="N265:N328" si="145">J265+E265</f>
        <v>5.432796</v>
      </c>
    </row>
    <row r="266" ht="26.25" hidden="1" customHeight="1" spans="1:14">
      <c r="A266" s="202"/>
      <c r="B266" s="203"/>
      <c r="C266" s="203" t="s">
        <v>544</v>
      </c>
      <c r="D266" s="200">
        <f t="shared" si="142"/>
        <v>9.144322</v>
      </c>
      <c r="E266" s="204">
        <f t="shared" si="143"/>
        <v>9.144322</v>
      </c>
      <c r="F266" s="205"/>
      <c r="G266" s="205">
        <v>9.144322</v>
      </c>
      <c r="H266" s="205"/>
      <c r="I266" s="204">
        <f t="shared" si="144"/>
        <v>0</v>
      </c>
      <c r="J266" s="212"/>
      <c r="K266" s="205"/>
      <c r="L266" s="205"/>
      <c r="M266" s="213"/>
      <c r="N266" s="176">
        <f t="shared" si="145"/>
        <v>9.144322</v>
      </c>
    </row>
    <row r="267" ht="26.25" hidden="1" customHeight="1" spans="1:14">
      <c r="A267" s="202"/>
      <c r="B267" s="203"/>
      <c r="C267" s="203" t="s">
        <v>544</v>
      </c>
      <c r="D267" s="200">
        <f t="shared" si="142"/>
        <v>1.391492</v>
      </c>
      <c r="E267" s="204">
        <f t="shared" si="143"/>
        <v>1.391492</v>
      </c>
      <c r="F267" s="205"/>
      <c r="G267" s="205">
        <v>1.391492</v>
      </c>
      <c r="H267" s="205"/>
      <c r="I267" s="204">
        <f t="shared" si="144"/>
        <v>0</v>
      </c>
      <c r="J267" s="212"/>
      <c r="K267" s="205"/>
      <c r="L267" s="205"/>
      <c r="M267" s="213"/>
      <c r="N267" s="176">
        <f t="shared" si="145"/>
        <v>1.391492</v>
      </c>
    </row>
    <row r="268" ht="26.25" hidden="1" customHeight="1" spans="1:14">
      <c r="A268" s="202"/>
      <c r="B268" s="203"/>
      <c r="C268" s="203" t="s">
        <v>544</v>
      </c>
      <c r="D268" s="200">
        <f t="shared" si="142"/>
        <v>10.178605</v>
      </c>
      <c r="E268" s="204">
        <f t="shared" si="143"/>
        <v>10.178605</v>
      </c>
      <c r="F268" s="205"/>
      <c r="G268" s="205">
        <v>10.178605</v>
      </c>
      <c r="H268" s="205"/>
      <c r="I268" s="204">
        <f t="shared" si="144"/>
        <v>0</v>
      </c>
      <c r="J268" s="212"/>
      <c r="K268" s="205"/>
      <c r="L268" s="205"/>
      <c r="M268" s="213"/>
      <c r="N268" s="176">
        <f t="shared" si="145"/>
        <v>10.178605</v>
      </c>
    </row>
    <row r="269" ht="26.25" hidden="1" customHeight="1" spans="1:14">
      <c r="A269" s="202"/>
      <c r="B269" s="203"/>
      <c r="C269" s="203" t="s">
        <v>544</v>
      </c>
      <c r="D269" s="200">
        <f t="shared" si="142"/>
        <v>1.506214</v>
      </c>
      <c r="E269" s="204">
        <f t="shared" si="143"/>
        <v>1.506214</v>
      </c>
      <c r="F269" s="205"/>
      <c r="G269" s="205">
        <v>1.506214</v>
      </c>
      <c r="H269" s="205"/>
      <c r="I269" s="204">
        <f t="shared" si="144"/>
        <v>0</v>
      </c>
      <c r="J269" s="212"/>
      <c r="K269" s="205"/>
      <c r="L269" s="205"/>
      <c r="M269" s="213"/>
      <c r="N269" s="176">
        <f t="shared" si="145"/>
        <v>1.506214</v>
      </c>
    </row>
    <row r="270" ht="26.25" hidden="1" customHeight="1" spans="1:14">
      <c r="A270" s="202"/>
      <c r="B270" s="203"/>
      <c r="C270" s="203" t="s">
        <v>544</v>
      </c>
      <c r="D270" s="200">
        <f t="shared" si="142"/>
        <v>14.253499</v>
      </c>
      <c r="E270" s="204">
        <f t="shared" si="143"/>
        <v>14.253499</v>
      </c>
      <c r="F270" s="205"/>
      <c r="G270" s="205">
        <v>14.253499</v>
      </c>
      <c r="H270" s="205"/>
      <c r="I270" s="204">
        <f t="shared" si="144"/>
        <v>0</v>
      </c>
      <c r="J270" s="212"/>
      <c r="K270" s="205"/>
      <c r="L270" s="205"/>
      <c r="M270" s="213"/>
      <c r="N270" s="176">
        <f t="shared" si="145"/>
        <v>14.253499</v>
      </c>
    </row>
    <row r="271" ht="26.25" hidden="1" customHeight="1" spans="1:14">
      <c r="A271" s="202"/>
      <c r="B271" s="203"/>
      <c r="C271" s="203" t="s">
        <v>544</v>
      </c>
      <c r="D271" s="200">
        <f t="shared" si="142"/>
        <v>13.404515</v>
      </c>
      <c r="E271" s="204">
        <f t="shared" si="143"/>
        <v>13.404515</v>
      </c>
      <c r="F271" s="205"/>
      <c r="G271" s="205">
        <v>13.404515</v>
      </c>
      <c r="H271" s="205"/>
      <c r="I271" s="204">
        <f t="shared" si="144"/>
        <v>0</v>
      </c>
      <c r="J271" s="212"/>
      <c r="K271" s="205"/>
      <c r="L271" s="205"/>
      <c r="M271" s="213"/>
      <c r="N271" s="176">
        <f t="shared" si="145"/>
        <v>13.404515</v>
      </c>
    </row>
    <row r="272" ht="26.25" hidden="1" customHeight="1" spans="1:14">
      <c r="A272" s="202"/>
      <c r="B272" s="203"/>
      <c r="C272" s="203" t="s">
        <v>544</v>
      </c>
      <c r="D272" s="200">
        <f t="shared" si="142"/>
        <v>2.545654</v>
      </c>
      <c r="E272" s="204">
        <f t="shared" si="143"/>
        <v>2.545654</v>
      </c>
      <c r="F272" s="205"/>
      <c r="G272" s="205">
        <v>2.545654</v>
      </c>
      <c r="H272" s="205"/>
      <c r="I272" s="204">
        <f t="shared" si="144"/>
        <v>0</v>
      </c>
      <c r="J272" s="212"/>
      <c r="K272" s="205"/>
      <c r="L272" s="205"/>
      <c r="M272" s="213"/>
      <c r="N272" s="176">
        <f t="shared" si="145"/>
        <v>2.545654</v>
      </c>
    </row>
    <row r="273" ht="26.25" hidden="1" customHeight="1" spans="1:14">
      <c r="A273" s="202"/>
      <c r="B273" s="203"/>
      <c r="C273" s="203" t="s">
        <v>544</v>
      </c>
      <c r="D273" s="200">
        <f t="shared" si="142"/>
        <v>6.960188</v>
      </c>
      <c r="E273" s="204">
        <f t="shared" si="143"/>
        <v>6.960188</v>
      </c>
      <c r="F273" s="205"/>
      <c r="G273" s="205">
        <v>6.960188</v>
      </c>
      <c r="H273" s="205"/>
      <c r="I273" s="204">
        <f t="shared" si="144"/>
        <v>0</v>
      </c>
      <c r="J273" s="212"/>
      <c r="K273" s="205"/>
      <c r="L273" s="205"/>
      <c r="M273" s="213"/>
      <c r="N273" s="176">
        <f t="shared" si="145"/>
        <v>6.960188</v>
      </c>
    </row>
    <row r="274" ht="26.25" hidden="1" customHeight="1" spans="1:14">
      <c r="A274" s="202"/>
      <c r="B274" s="203"/>
      <c r="C274" s="203" t="s">
        <v>544</v>
      </c>
      <c r="D274" s="200">
        <f t="shared" si="142"/>
        <v>15.118513</v>
      </c>
      <c r="E274" s="204">
        <f t="shared" si="143"/>
        <v>15.118513</v>
      </c>
      <c r="F274" s="205"/>
      <c r="G274" s="205">
        <v>15.118513</v>
      </c>
      <c r="H274" s="205"/>
      <c r="I274" s="204">
        <f t="shared" si="144"/>
        <v>0</v>
      </c>
      <c r="J274" s="212"/>
      <c r="K274" s="205"/>
      <c r="L274" s="205"/>
      <c r="M274" s="213"/>
      <c r="N274" s="176">
        <f t="shared" si="145"/>
        <v>15.118513</v>
      </c>
    </row>
    <row r="275" ht="26.25" hidden="1" customHeight="1" spans="1:14">
      <c r="A275" s="202"/>
      <c r="B275" s="203"/>
      <c r="C275" s="203" t="s">
        <v>544</v>
      </c>
      <c r="D275" s="200">
        <f t="shared" si="142"/>
        <v>9.501573</v>
      </c>
      <c r="E275" s="204">
        <f t="shared" si="143"/>
        <v>9.501573</v>
      </c>
      <c r="F275" s="205"/>
      <c r="G275" s="205">
        <v>9.501573</v>
      </c>
      <c r="H275" s="205"/>
      <c r="I275" s="204">
        <f t="shared" si="144"/>
        <v>0</v>
      </c>
      <c r="J275" s="212"/>
      <c r="K275" s="205"/>
      <c r="L275" s="205"/>
      <c r="M275" s="213"/>
      <c r="N275" s="176">
        <f t="shared" si="145"/>
        <v>9.501573</v>
      </c>
    </row>
    <row r="276" ht="26.25" hidden="1" customHeight="1" spans="1:14">
      <c r="A276" s="202"/>
      <c r="B276" s="203"/>
      <c r="C276" s="203" t="s">
        <v>544</v>
      </c>
      <c r="D276" s="200">
        <f t="shared" si="142"/>
        <v>3.713666</v>
      </c>
      <c r="E276" s="204">
        <f t="shared" si="143"/>
        <v>3.713666</v>
      </c>
      <c r="F276" s="205"/>
      <c r="G276" s="205">
        <v>3.713666</v>
      </c>
      <c r="H276" s="205"/>
      <c r="I276" s="204">
        <f t="shared" si="144"/>
        <v>0</v>
      </c>
      <c r="J276" s="212"/>
      <c r="K276" s="205"/>
      <c r="L276" s="205"/>
      <c r="M276" s="213"/>
      <c r="N276" s="176">
        <f t="shared" si="145"/>
        <v>3.713666</v>
      </c>
    </row>
    <row r="277" ht="26.25" hidden="1" customHeight="1" spans="1:14">
      <c r="A277" s="202"/>
      <c r="B277" s="203"/>
      <c r="C277" s="203" t="s">
        <v>544</v>
      </c>
      <c r="D277" s="200">
        <f t="shared" si="142"/>
        <v>3.425882</v>
      </c>
      <c r="E277" s="204">
        <f t="shared" si="143"/>
        <v>3.425882</v>
      </c>
      <c r="F277" s="205"/>
      <c r="G277" s="205">
        <v>3.425882</v>
      </c>
      <c r="H277" s="205"/>
      <c r="I277" s="204">
        <f t="shared" si="144"/>
        <v>0</v>
      </c>
      <c r="J277" s="212"/>
      <c r="K277" s="205"/>
      <c r="L277" s="205"/>
      <c r="M277" s="213"/>
      <c r="N277" s="176">
        <f t="shared" si="145"/>
        <v>3.425882</v>
      </c>
    </row>
    <row r="278" ht="26.25" hidden="1" customHeight="1" spans="1:14">
      <c r="A278" s="202"/>
      <c r="B278" s="203"/>
      <c r="C278" s="203" t="s">
        <v>544</v>
      </c>
      <c r="D278" s="200">
        <f t="shared" ref="D278:D341" si="146">E278+I278</f>
        <v>2.584334</v>
      </c>
      <c r="E278" s="204">
        <f t="shared" ref="E278:E341" si="147">SUM(F278:H278)</f>
        <v>2.584334</v>
      </c>
      <c r="F278" s="205"/>
      <c r="G278" s="205">
        <v>2.584334</v>
      </c>
      <c r="H278" s="205"/>
      <c r="I278" s="204">
        <f t="shared" ref="I278:I341" si="148">SUM(J278:L278)</f>
        <v>0</v>
      </c>
      <c r="J278" s="212"/>
      <c r="K278" s="205"/>
      <c r="L278" s="205"/>
      <c r="M278" s="213"/>
      <c r="N278" s="176">
        <f t="shared" si="145"/>
        <v>2.584334</v>
      </c>
    </row>
    <row r="279" ht="26.25" hidden="1" customHeight="1" spans="1:14">
      <c r="A279" s="202"/>
      <c r="B279" s="203"/>
      <c r="C279" s="203" t="s">
        <v>544</v>
      </c>
      <c r="D279" s="200">
        <f t="shared" si="146"/>
        <v>7.201766</v>
      </c>
      <c r="E279" s="204">
        <f t="shared" si="147"/>
        <v>7.201766</v>
      </c>
      <c r="F279" s="205"/>
      <c r="G279" s="205">
        <v>7.201766</v>
      </c>
      <c r="H279" s="205"/>
      <c r="I279" s="204">
        <f t="shared" si="148"/>
        <v>0</v>
      </c>
      <c r="J279" s="212"/>
      <c r="K279" s="205"/>
      <c r="L279" s="205"/>
      <c r="M279" s="213"/>
      <c r="N279" s="176">
        <f t="shared" si="145"/>
        <v>7.201766</v>
      </c>
    </row>
    <row r="280" ht="26.25" hidden="1" customHeight="1" spans="1:14">
      <c r="A280" s="202"/>
      <c r="B280" s="203"/>
      <c r="C280" s="203" t="s">
        <v>544</v>
      </c>
      <c r="D280" s="200">
        <f t="shared" si="146"/>
        <v>6.38367</v>
      </c>
      <c r="E280" s="204">
        <f t="shared" si="147"/>
        <v>6.38367</v>
      </c>
      <c r="F280" s="205"/>
      <c r="G280" s="205">
        <v>6.38367</v>
      </c>
      <c r="H280" s="205"/>
      <c r="I280" s="204">
        <f t="shared" si="148"/>
        <v>0</v>
      </c>
      <c r="J280" s="212"/>
      <c r="K280" s="205"/>
      <c r="L280" s="205"/>
      <c r="M280" s="213"/>
      <c r="N280" s="176">
        <f t="shared" si="145"/>
        <v>6.38367</v>
      </c>
    </row>
    <row r="281" ht="26.25" hidden="1" customHeight="1" spans="1:14">
      <c r="A281" s="202"/>
      <c r="B281" s="203"/>
      <c r="C281" s="203" t="s">
        <v>544</v>
      </c>
      <c r="D281" s="200">
        <f t="shared" si="146"/>
        <v>3.428465</v>
      </c>
      <c r="E281" s="204">
        <f t="shared" si="147"/>
        <v>3.428465</v>
      </c>
      <c r="F281" s="205"/>
      <c r="G281" s="205">
        <v>3.428465</v>
      </c>
      <c r="H281" s="205"/>
      <c r="I281" s="204">
        <f t="shared" si="148"/>
        <v>0</v>
      </c>
      <c r="J281" s="212"/>
      <c r="K281" s="205"/>
      <c r="L281" s="205"/>
      <c r="M281" s="213"/>
      <c r="N281" s="176">
        <f t="shared" si="145"/>
        <v>3.428465</v>
      </c>
    </row>
    <row r="282" ht="26.25" hidden="1" customHeight="1" spans="1:14">
      <c r="A282" s="202"/>
      <c r="B282" s="203"/>
      <c r="C282" s="203" t="s">
        <v>544</v>
      </c>
      <c r="D282" s="200">
        <f t="shared" si="146"/>
        <v>6.131661</v>
      </c>
      <c r="E282" s="204">
        <f t="shared" si="147"/>
        <v>6.131661</v>
      </c>
      <c r="F282" s="205"/>
      <c r="G282" s="205">
        <v>6.131661</v>
      </c>
      <c r="H282" s="205"/>
      <c r="I282" s="204">
        <f t="shared" si="148"/>
        <v>0</v>
      </c>
      <c r="J282" s="212"/>
      <c r="K282" s="205"/>
      <c r="L282" s="205"/>
      <c r="M282" s="213"/>
      <c r="N282" s="176">
        <f t="shared" si="145"/>
        <v>6.131661</v>
      </c>
    </row>
    <row r="283" ht="26.25" hidden="1" customHeight="1" spans="1:14">
      <c r="A283" s="202"/>
      <c r="B283" s="203"/>
      <c r="C283" s="203" t="s">
        <v>545</v>
      </c>
      <c r="D283" s="200">
        <f t="shared" si="146"/>
        <v>3.414332</v>
      </c>
      <c r="E283" s="204">
        <f t="shared" si="147"/>
        <v>3.414332</v>
      </c>
      <c r="F283" s="205"/>
      <c r="G283" s="205">
        <v>3.414332</v>
      </c>
      <c r="H283" s="205"/>
      <c r="I283" s="204">
        <f t="shared" si="148"/>
        <v>0</v>
      </c>
      <c r="J283" s="212"/>
      <c r="K283" s="205"/>
      <c r="L283" s="205"/>
      <c r="M283" s="213"/>
      <c r="N283" s="176">
        <f t="shared" si="145"/>
        <v>3.414332</v>
      </c>
    </row>
    <row r="284" ht="26.25" hidden="1" customHeight="1" spans="1:14">
      <c r="A284" s="202"/>
      <c r="B284" s="203"/>
      <c r="C284" s="203" t="s">
        <v>545</v>
      </c>
      <c r="D284" s="200">
        <f t="shared" si="146"/>
        <v>4.595994</v>
      </c>
      <c r="E284" s="204">
        <f t="shared" si="147"/>
        <v>4.595994</v>
      </c>
      <c r="F284" s="205"/>
      <c r="G284" s="205">
        <v>4.595994</v>
      </c>
      <c r="H284" s="205"/>
      <c r="I284" s="204">
        <f t="shared" si="148"/>
        <v>0</v>
      </c>
      <c r="J284" s="212"/>
      <c r="K284" s="205"/>
      <c r="L284" s="205"/>
      <c r="M284" s="213"/>
      <c r="N284" s="176">
        <f t="shared" si="145"/>
        <v>4.595994</v>
      </c>
    </row>
    <row r="285" ht="26.25" hidden="1" customHeight="1" spans="1:14">
      <c r="A285" s="202"/>
      <c r="B285" s="203"/>
      <c r="C285" s="203" t="s">
        <v>545</v>
      </c>
      <c r="D285" s="200">
        <f t="shared" si="146"/>
        <v>1.609952</v>
      </c>
      <c r="E285" s="204">
        <f t="shared" si="147"/>
        <v>1.609952</v>
      </c>
      <c r="F285" s="205"/>
      <c r="G285" s="205">
        <v>1.609952</v>
      </c>
      <c r="H285" s="205"/>
      <c r="I285" s="204">
        <f t="shared" si="148"/>
        <v>0</v>
      </c>
      <c r="J285" s="212"/>
      <c r="K285" s="205"/>
      <c r="L285" s="205"/>
      <c r="M285" s="213"/>
      <c r="N285" s="176">
        <f t="shared" si="145"/>
        <v>1.609952</v>
      </c>
    </row>
    <row r="286" ht="26.25" hidden="1" customHeight="1" spans="1:14">
      <c r="A286" s="202"/>
      <c r="B286" s="203"/>
      <c r="C286" s="203" t="s">
        <v>546</v>
      </c>
      <c r="D286" s="200">
        <f t="shared" si="146"/>
        <v>1.980803</v>
      </c>
      <c r="E286" s="204">
        <f t="shared" si="147"/>
        <v>1.980803</v>
      </c>
      <c r="F286" s="205"/>
      <c r="G286" s="205">
        <v>1.980803</v>
      </c>
      <c r="H286" s="205"/>
      <c r="I286" s="204">
        <f t="shared" si="148"/>
        <v>0</v>
      </c>
      <c r="J286" s="212"/>
      <c r="K286" s="205"/>
      <c r="L286" s="205"/>
      <c r="M286" s="213"/>
      <c r="N286" s="176">
        <f t="shared" si="145"/>
        <v>1.980803</v>
      </c>
    </row>
    <row r="287" ht="26.25" hidden="1" customHeight="1" spans="1:14">
      <c r="A287" s="202"/>
      <c r="B287" s="203"/>
      <c r="C287" s="203" t="s">
        <v>547</v>
      </c>
      <c r="D287" s="200">
        <f t="shared" si="146"/>
        <v>1.893468</v>
      </c>
      <c r="E287" s="204">
        <f t="shared" si="147"/>
        <v>1.893468</v>
      </c>
      <c r="F287" s="205"/>
      <c r="G287" s="205">
        <v>1.893468</v>
      </c>
      <c r="H287" s="205"/>
      <c r="I287" s="204">
        <f t="shared" si="148"/>
        <v>0</v>
      </c>
      <c r="J287" s="212"/>
      <c r="K287" s="205"/>
      <c r="L287" s="205"/>
      <c r="M287" s="213"/>
      <c r="N287" s="176">
        <f t="shared" si="145"/>
        <v>1.893468</v>
      </c>
    </row>
    <row r="288" ht="26.25" hidden="1" customHeight="1" spans="1:14">
      <c r="A288" s="202"/>
      <c r="B288" s="203"/>
      <c r="C288" s="203" t="s">
        <v>548</v>
      </c>
      <c r="D288" s="200">
        <f t="shared" si="146"/>
        <v>7.822112</v>
      </c>
      <c r="E288" s="204">
        <f t="shared" si="147"/>
        <v>7.822112</v>
      </c>
      <c r="F288" s="205"/>
      <c r="G288" s="205">
        <v>7.822112</v>
      </c>
      <c r="H288" s="205"/>
      <c r="I288" s="204">
        <f t="shared" si="148"/>
        <v>0</v>
      </c>
      <c r="J288" s="212"/>
      <c r="K288" s="205"/>
      <c r="L288" s="205"/>
      <c r="M288" s="213"/>
      <c r="N288" s="176">
        <f t="shared" si="145"/>
        <v>7.822112</v>
      </c>
    </row>
    <row r="289" ht="26.25" hidden="1" customHeight="1" spans="1:14">
      <c r="A289" s="202"/>
      <c r="B289" s="203"/>
      <c r="C289" s="203" t="s">
        <v>549</v>
      </c>
      <c r="D289" s="200">
        <f t="shared" si="146"/>
        <v>11.85837</v>
      </c>
      <c r="E289" s="204">
        <f t="shared" si="147"/>
        <v>11.85837</v>
      </c>
      <c r="F289" s="205"/>
      <c r="G289" s="205">
        <v>11.85837</v>
      </c>
      <c r="H289" s="205"/>
      <c r="I289" s="204">
        <f t="shared" si="148"/>
        <v>0</v>
      </c>
      <c r="J289" s="212"/>
      <c r="K289" s="205"/>
      <c r="L289" s="205"/>
      <c r="M289" s="213"/>
      <c r="N289" s="176">
        <f t="shared" si="145"/>
        <v>11.85837</v>
      </c>
    </row>
    <row r="290" ht="26.25" hidden="1" customHeight="1" spans="1:14">
      <c r="A290" s="202"/>
      <c r="B290" s="203"/>
      <c r="C290" s="203" t="s">
        <v>549</v>
      </c>
      <c r="D290" s="200">
        <f t="shared" si="146"/>
        <v>1.227184</v>
      </c>
      <c r="E290" s="204">
        <f t="shared" si="147"/>
        <v>1.227184</v>
      </c>
      <c r="F290" s="205"/>
      <c r="G290" s="205">
        <v>1.227184</v>
      </c>
      <c r="H290" s="205"/>
      <c r="I290" s="204">
        <f t="shared" si="148"/>
        <v>0</v>
      </c>
      <c r="J290" s="212"/>
      <c r="K290" s="205"/>
      <c r="L290" s="205"/>
      <c r="M290" s="213"/>
      <c r="N290" s="176">
        <f t="shared" si="145"/>
        <v>1.227184</v>
      </c>
    </row>
    <row r="291" ht="26.25" hidden="1" customHeight="1" spans="1:14">
      <c r="A291" s="202"/>
      <c r="B291" s="203"/>
      <c r="C291" s="203" t="s">
        <v>549</v>
      </c>
      <c r="D291" s="200">
        <f t="shared" si="146"/>
        <v>2.279336</v>
      </c>
      <c r="E291" s="204">
        <f t="shared" si="147"/>
        <v>2.279336</v>
      </c>
      <c r="F291" s="205"/>
      <c r="G291" s="205">
        <v>2.279336</v>
      </c>
      <c r="H291" s="205"/>
      <c r="I291" s="204">
        <f t="shared" si="148"/>
        <v>0</v>
      </c>
      <c r="J291" s="212"/>
      <c r="K291" s="205"/>
      <c r="L291" s="205"/>
      <c r="M291" s="213"/>
      <c r="N291" s="176">
        <f t="shared" si="145"/>
        <v>2.279336</v>
      </c>
    </row>
    <row r="292" ht="26.25" hidden="1" customHeight="1" spans="1:14">
      <c r="A292" s="202"/>
      <c r="B292" s="203"/>
      <c r="C292" s="203" t="s">
        <v>549</v>
      </c>
      <c r="D292" s="200">
        <f t="shared" si="146"/>
        <v>1.443048</v>
      </c>
      <c r="E292" s="204">
        <f t="shared" si="147"/>
        <v>1.443048</v>
      </c>
      <c r="F292" s="205"/>
      <c r="G292" s="205">
        <v>1.443048</v>
      </c>
      <c r="H292" s="205"/>
      <c r="I292" s="204">
        <f t="shared" si="148"/>
        <v>0</v>
      </c>
      <c r="J292" s="212"/>
      <c r="K292" s="205"/>
      <c r="L292" s="205"/>
      <c r="M292" s="213"/>
      <c r="N292" s="176">
        <f t="shared" si="145"/>
        <v>1.443048</v>
      </c>
    </row>
    <row r="293" ht="26.25" hidden="1" customHeight="1" spans="1:14">
      <c r="A293" s="202"/>
      <c r="B293" s="203"/>
      <c r="C293" s="203" t="s">
        <v>549</v>
      </c>
      <c r="D293" s="200">
        <f t="shared" si="146"/>
        <v>1.062512</v>
      </c>
      <c r="E293" s="204">
        <f t="shared" si="147"/>
        <v>1.062512</v>
      </c>
      <c r="F293" s="205"/>
      <c r="G293" s="205">
        <v>1.062512</v>
      </c>
      <c r="H293" s="205"/>
      <c r="I293" s="204">
        <f t="shared" si="148"/>
        <v>0</v>
      </c>
      <c r="J293" s="212"/>
      <c r="K293" s="205"/>
      <c r="L293" s="205"/>
      <c r="M293" s="213"/>
      <c r="N293" s="176">
        <f t="shared" si="145"/>
        <v>1.062512</v>
      </c>
    </row>
    <row r="294" ht="26.25" hidden="1" customHeight="1" spans="1:14">
      <c r="A294" s="202"/>
      <c r="B294" s="203"/>
      <c r="C294" s="203" t="s">
        <v>549</v>
      </c>
      <c r="D294" s="200">
        <f t="shared" si="146"/>
        <v>1.53604</v>
      </c>
      <c r="E294" s="204">
        <f t="shared" si="147"/>
        <v>1.53604</v>
      </c>
      <c r="F294" s="205"/>
      <c r="G294" s="205">
        <v>1.53604</v>
      </c>
      <c r="H294" s="205"/>
      <c r="I294" s="204">
        <f t="shared" si="148"/>
        <v>0</v>
      </c>
      <c r="J294" s="212"/>
      <c r="K294" s="205"/>
      <c r="L294" s="205"/>
      <c r="M294" s="213"/>
      <c r="N294" s="176">
        <f t="shared" si="145"/>
        <v>1.53604</v>
      </c>
    </row>
    <row r="295" ht="26.25" hidden="1" customHeight="1" spans="1:14">
      <c r="A295" s="202"/>
      <c r="B295" s="203"/>
      <c r="C295" s="203" t="s">
        <v>549</v>
      </c>
      <c r="D295" s="200">
        <f t="shared" si="146"/>
        <v>0.60372</v>
      </c>
      <c r="E295" s="204">
        <f t="shared" si="147"/>
        <v>0.60372</v>
      </c>
      <c r="F295" s="205"/>
      <c r="G295" s="205">
        <v>0.60372</v>
      </c>
      <c r="H295" s="205"/>
      <c r="I295" s="204">
        <f t="shared" si="148"/>
        <v>0</v>
      </c>
      <c r="J295" s="212"/>
      <c r="K295" s="205"/>
      <c r="L295" s="205"/>
      <c r="M295" s="213"/>
      <c r="N295" s="176">
        <f t="shared" si="145"/>
        <v>0.60372</v>
      </c>
    </row>
    <row r="296" ht="26.25" hidden="1" customHeight="1" spans="1:14">
      <c r="A296" s="202"/>
      <c r="B296" s="203"/>
      <c r="C296" s="203" t="s">
        <v>549</v>
      </c>
      <c r="D296" s="200">
        <f t="shared" si="146"/>
        <v>0.603144</v>
      </c>
      <c r="E296" s="204">
        <f t="shared" si="147"/>
        <v>0.603144</v>
      </c>
      <c r="F296" s="205"/>
      <c r="G296" s="205">
        <v>0.603144</v>
      </c>
      <c r="H296" s="205"/>
      <c r="I296" s="204">
        <f t="shared" si="148"/>
        <v>0</v>
      </c>
      <c r="J296" s="212"/>
      <c r="K296" s="205"/>
      <c r="L296" s="205"/>
      <c r="M296" s="213"/>
      <c r="N296" s="176">
        <f t="shared" si="145"/>
        <v>0.603144</v>
      </c>
    </row>
    <row r="297" ht="26.25" hidden="1" customHeight="1" spans="1:14">
      <c r="A297" s="202"/>
      <c r="B297" s="203"/>
      <c r="C297" s="203" t="s">
        <v>549</v>
      </c>
      <c r="D297" s="200">
        <f t="shared" si="146"/>
        <v>0.952136</v>
      </c>
      <c r="E297" s="204">
        <f t="shared" si="147"/>
        <v>0.952136</v>
      </c>
      <c r="F297" s="205"/>
      <c r="G297" s="205">
        <v>0.952136</v>
      </c>
      <c r="H297" s="205"/>
      <c r="I297" s="204">
        <f t="shared" si="148"/>
        <v>0</v>
      </c>
      <c r="J297" s="212"/>
      <c r="K297" s="205"/>
      <c r="L297" s="205"/>
      <c r="M297" s="213"/>
      <c r="N297" s="176">
        <f t="shared" si="145"/>
        <v>0.952136</v>
      </c>
    </row>
    <row r="298" ht="26.25" hidden="1" customHeight="1" spans="1:14">
      <c r="A298" s="202"/>
      <c r="B298" s="203"/>
      <c r="C298" s="203" t="s">
        <v>549</v>
      </c>
      <c r="D298" s="200">
        <f t="shared" si="146"/>
        <v>1.32636</v>
      </c>
      <c r="E298" s="204">
        <f t="shared" si="147"/>
        <v>1.32636</v>
      </c>
      <c r="F298" s="205"/>
      <c r="G298" s="205">
        <v>1.32636</v>
      </c>
      <c r="H298" s="205"/>
      <c r="I298" s="204">
        <f t="shared" si="148"/>
        <v>0</v>
      </c>
      <c r="J298" s="212"/>
      <c r="K298" s="205"/>
      <c r="L298" s="205"/>
      <c r="M298" s="213"/>
      <c r="N298" s="176">
        <f t="shared" si="145"/>
        <v>1.32636</v>
      </c>
    </row>
    <row r="299" ht="26.25" hidden="1" customHeight="1" spans="1:14">
      <c r="A299" s="202"/>
      <c r="B299" s="203"/>
      <c r="C299" s="203" t="s">
        <v>549</v>
      </c>
      <c r="D299" s="200">
        <f t="shared" si="146"/>
        <v>1.033064</v>
      </c>
      <c r="E299" s="204">
        <f t="shared" si="147"/>
        <v>1.033064</v>
      </c>
      <c r="F299" s="205"/>
      <c r="G299" s="205">
        <v>1.033064</v>
      </c>
      <c r="H299" s="205"/>
      <c r="I299" s="204">
        <f t="shared" si="148"/>
        <v>0</v>
      </c>
      <c r="J299" s="212"/>
      <c r="K299" s="205"/>
      <c r="L299" s="205"/>
      <c r="M299" s="213"/>
      <c r="N299" s="176">
        <f t="shared" si="145"/>
        <v>1.033064</v>
      </c>
    </row>
    <row r="300" ht="26.25" hidden="1" customHeight="1" spans="1:14">
      <c r="A300" s="202"/>
      <c r="B300" s="203"/>
      <c r="C300" s="203" t="s">
        <v>549</v>
      </c>
      <c r="D300" s="200">
        <f t="shared" si="146"/>
        <v>0.67788</v>
      </c>
      <c r="E300" s="204">
        <f t="shared" si="147"/>
        <v>0.67788</v>
      </c>
      <c r="F300" s="205"/>
      <c r="G300" s="205">
        <v>0.67788</v>
      </c>
      <c r="H300" s="205"/>
      <c r="I300" s="204">
        <f t="shared" si="148"/>
        <v>0</v>
      </c>
      <c r="J300" s="212"/>
      <c r="K300" s="205"/>
      <c r="L300" s="205"/>
      <c r="M300" s="213"/>
      <c r="N300" s="176">
        <f t="shared" si="145"/>
        <v>0.67788</v>
      </c>
    </row>
    <row r="301" ht="26.25" hidden="1" customHeight="1" spans="1:14">
      <c r="A301" s="202"/>
      <c r="B301" s="203"/>
      <c r="C301" s="203" t="s">
        <v>549</v>
      </c>
      <c r="D301" s="200">
        <f t="shared" si="146"/>
        <v>2.146792</v>
      </c>
      <c r="E301" s="204">
        <f t="shared" si="147"/>
        <v>2.146792</v>
      </c>
      <c r="F301" s="205"/>
      <c r="G301" s="205">
        <v>2.146792</v>
      </c>
      <c r="H301" s="205"/>
      <c r="I301" s="204">
        <f t="shared" si="148"/>
        <v>0</v>
      </c>
      <c r="J301" s="212"/>
      <c r="K301" s="205"/>
      <c r="L301" s="205"/>
      <c r="M301" s="213"/>
      <c r="N301" s="176">
        <f t="shared" si="145"/>
        <v>2.146792</v>
      </c>
    </row>
    <row r="302" ht="26.25" hidden="1" customHeight="1" spans="1:14">
      <c r="A302" s="202"/>
      <c r="B302" s="203"/>
      <c r="C302" s="203" t="s">
        <v>549</v>
      </c>
      <c r="D302" s="200">
        <f t="shared" si="146"/>
        <v>1.060248</v>
      </c>
      <c r="E302" s="204">
        <f t="shared" si="147"/>
        <v>1.060248</v>
      </c>
      <c r="F302" s="205"/>
      <c r="G302" s="205">
        <v>1.060248</v>
      </c>
      <c r="H302" s="205"/>
      <c r="I302" s="204">
        <f t="shared" si="148"/>
        <v>0</v>
      </c>
      <c r="J302" s="212"/>
      <c r="K302" s="205"/>
      <c r="L302" s="205"/>
      <c r="M302" s="213"/>
      <c r="N302" s="176">
        <f t="shared" si="145"/>
        <v>1.060248</v>
      </c>
    </row>
    <row r="303" ht="26.25" hidden="1" customHeight="1" spans="1:14">
      <c r="A303" s="202"/>
      <c r="B303" s="203"/>
      <c r="C303" s="203" t="s">
        <v>549</v>
      </c>
      <c r="D303" s="200">
        <f t="shared" si="146"/>
        <v>0.584856</v>
      </c>
      <c r="E303" s="204">
        <f t="shared" si="147"/>
        <v>0.584856</v>
      </c>
      <c r="F303" s="205"/>
      <c r="G303" s="205">
        <v>0.584856</v>
      </c>
      <c r="H303" s="205"/>
      <c r="I303" s="204">
        <f t="shared" si="148"/>
        <v>0</v>
      </c>
      <c r="J303" s="212"/>
      <c r="K303" s="205"/>
      <c r="L303" s="205"/>
      <c r="M303" s="213"/>
      <c r="N303" s="176">
        <f t="shared" si="145"/>
        <v>0.584856</v>
      </c>
    </row>
    <row r="304" ht="26.25" hidden="1" customHeight="1" spans="1:14">
      <c r="A304" s="202"/>
      <c r="B304" s="203"/>
      <c r="C304" s="203" t="s">
        <v>549</v>
      </c>
      <c r="D304" s="200">
        <f t="shared" si="146"/>
        <v>0.38624</v>
      </c>
      <c r="E304" s="204">
        <f t="shared" si="147"/>
        <v>0.38624</v>
      </c>
      <c r="F304" s="205"/>
      <c r="G304" s="205">
        <v>0.38624</v>
      </c>
      <c r="H304" s="205"/>
      <c r="I304" s="204">
        <f t="shared" si="148"/>
        <v>0</v>
      </c>
      <c r="J304" s="212"/>
      <c r="K304" s="205"/>
      <c r="L304" s="205"/>
      <c r="M304" s="213"/>
      <c r="N304" s="176">
        <f t="shared" si="145"/>
        <v>0.38624</v>
      </c>
    </row>
    <row r="305" ht="26.25" hidden="1" customHeight="1" spans="1:14">
      <c r="A305" s="202"/>
      <c r="B305" s="203"/>
      <c r="C305" s="203" t="s">
        <v>549</v>
      </c>
      <c r="D305" s="200">
        <f t="shared" si="146"/>
        <v>0.379304</v>
      </c>
      <c r="E305" s="204">
        <f t="shared" si="147"/>
        <v>0.379304</v>
      </c>
      <c r="F305" s="205"/>
      <c r="G305" s="205">
        <v>0.379304</v>
      </c>
      <c r="H305" s="205"/>
      <c r="I305" s="204">
        <f t="shared" si="148"/>
        <v>0</v>
      </c>
      <c r="J305" s="212"/>
      <c r="K305" s="205"/>
      <c r="L305" s="205"/>
      <c r="M305" s="213"/>
      <c r="N305" s="176">
        <f t="shared" si="145"/>
        <v>0.379304</v>
      </c>
    </row>
    <row r="306" ht="26.25" hidden="1" customHeight="1" spans="1:14">
      <c r="A306" s="202"/>
      <c r="B306" s="203"/>
      <c r="C306" s="203" t="s">
        <v>549</v>
      </c>
      <c r="D306" s="200">
        <f t="shared" si="146"/>
        <v>0.582936</v>
      </c>
      <c r="E306" s="204">
        <f t="shared" si="147"/>
        <v>0.582936</v>
      </c>
      <c r="F306" s="205"/>
      <c r="G306" s="205">
        <v>0.582936</v>
      </c>
      <c r="H306" s="205"/>
      <c r="I306" s="204">
        <f t="shared" si="148"/>
        <v>0</v>
      </c>
      <c r="J306" s="212"/>
      <c r="K306" s="205"/>
      <c r="L306" s="205"/>
      <c r="M306" s="213"/>
      <c r="N306" s="176">
        <f t="shared" si="145"/>
        <v>0.582936</v>
      </c>
    </row>
    <row r="307" ht="26.25" hidden="1" customHeight="1" spans="1:14">
      <c r="A307" s="202"/>
      <c r="B307" s="203"/>
      <c r="C307" s="203" t="s">
        <v>549</v>
      </c>
      <c r="D307" s="200">
        <f t="shared" si="146"/>
        <v>0.31028</v>
      </c>
      <c r="E307" s="204">
        <f t="shared" si="147"/>
        <v>0.31028</v>
      </c>
      <c r="F307" s="205"/>
      <c r="G307" s="205">
        <v>0.31028</v>
      </c>
      <c r="H307" s="205"/>
      <c r="I307" s="204">
        <f t="shared" si="148"/>
        <v>0</v>
      </c>
      <c r="J307" s="212"/>
      <c r="K307" s="205"/>
      <c r="L307" s="205"/>
      <c r="M307" s="213"/>
      <c r="N307" s="176">
        <f t="shared" si="145"/>
        <v>0.31028</v>
      </c>
    </row>
    <row r="308" ht="26.25" hidden="1" customHeight="1" spans="1:14">
      <c r="A308" s="202"/>
      <c r="B308" s="203"/>
      <c r="C308" s="203" t="s">
        <v>549</v>
      </c>
      <c r="D308" s="200">
        <f t="shared" si="146"/>
        <v>0.680232</v>
      </c>
      <c r="E308" s="204">
        <f t="shared" si="147"/>
        <v>0.680232</v>
      </c>
      <c r="F308" s="205"/>
      <c r="G308" s="205">
        <v>0.680232</v>
      </c>
      <c r="H308" s="205"/>
      <c r="I308" s="204">
        <f t="shared" si="148"/>
        <v>0</v>
      </c>
      <c r="J308" s="212"/>
      <c r="K308" s="205"/>
      <c r="L308" s="205"/>
      <c r="M308" s="213"/>
      <c r="N308" s="176">
        <f t="shared" si="145"/>
        <v>0.680232</v>
      </c>
    </row>
    <row r="309" ht="26.25" hidden="1" customHeight="1" spans="1:14">
      <c r="A309" s="202"/>
      <c r="B309" s="203"/>
      <c r="C309" s="203" t="s">
        <v>549</v>
      </c>
      <c r="D309" s="200">
        <f t="shared" si="146"/>
        <v>0.563064</v>
      </c>
      <c r="E309" s="204">
        <f t="shared" si="147"/>
        <v>0.563064</v>
      </c>
      <c r="F309" s="205"/>
      <c r="G309" s="205">
        <v>0.563064</v>
      </c>
      <c r="H309" s="205"/>
      <c r="I309" s="204">
        <f t="shared" si="148"/>
        <v>0</v>
      </c>
      <c r="J309" s="212"/>
      <c r="K309" s="205"/>
      <c r="L309" s="205"/>
      <c r="M309" s="213"/>
      <c r="N309" s="176">
        <f t="shared" si="145"/>
        <v>0.563064</v>
      </c>
    </row>
    <row r="310" ht="26.25" hidden="1" customHeight="1" spans="1:14">
      <c r="A310" s="202"/>
      <c r="B310" s="203"/>
      <c r="C310" s="203" t="s">
        <v>549</v>
      </c>
      <c r="D310" s="200">
        <f t="shared" si="146"/>
        <v>0.530832</v>
      </c>
      <c r="E310" s="204">
        <f t="shared" si="147"/>
        <v>0.530832</v>
      </c>
      <c r="F310" s="205"/>
      <c r="G310" s="205">
        <v>0.530832</v>
      </c>
      <c r="H310" s="205"/>
      <c r="I310" s="204">
        <f t="shared" si="148"/>
        <v>0</v>
      </c>
      <c r="J310" s="212"/>
      <c r="K310" s="205"/>
      <c r="L310" s="205"/>
      <c r="M310" s="213"/>
      <c r="N310" s="176">
        <f t="shared" si="145"/>
        <v>0.530832</v>
      </c>
    </row>
    <row r="311" ht="26.25" hidden="1" customHeight="1" spans="1:14">
      <c r="A311" s="202"/>
      <c r="B311" s="203"/>
      <c r="C311" s="203" t="s">
        <v>549</v>
      </c>
      <c r="D311" s="200">
        <f t="shared" si="146"/>
        <v>0.6042</v>
      </c>
      <c r="E311" s="204">
        <f t="shared" si="147"/>
        <v>0.6042</v>
      </c>
      <c r="F311" s="205"/>
      <c r="G311" s="205">
        <v>0.6042</v>
      </c>
      <c r="H311" s="205"/>
      <c r="I311" s="204">
        <f t="shared" si="148"/>
        <v>0</v>
      </c>
      <c r="J311" s="212"/>
      <c r="K311" s="205"/>
      <c r="L311" s="205"/>
      <c r="M311" s="213"/>
      <c r="N311" s="176">
        <f t="shared" si="145"/>
        <v>0.6042</v>
      </c>
    </row>
    <row r="312" ht="26.25" hidden="1" customHeight="1" spans="1:14">
      <c r="A312" s="202"/>
      <c r="B312" s="203"/>
      <c r="C312" s="203" t="s">
        <v>549</v>
      </c>
      <c r="D312" s="200">
        <f t="shared" si="146"/>
        <v>0.356984</v>
      </c>
      <c r="E312" s="204">
        <f t="shared" si="147"/>
        <v>0.356984</v>
      </c>
      <c r="F312" s="205"/>
      <c r="G312" s="205">
        <v>0.356984</v>
      </c>
      <c r="H312" s="205"/>
      <c r="I312" s="204">
        <f t="shared" si="148"/>
        <v>0</v>
      </c>
      <c r="J312" s="212"/>
      <c r="K312" s="205"/>
      <c r="L312" s="205"/>
      <c r="M312" s="213"/>
      <c r="N312" s="176">
        <f t="shared" si="145"/>
        <v>0.356984</v>
      </c>
    </row>
    <row r="313" ht="26.25" hidden="1" customHeight="1" spans="1:14">
      <c r="A313" s="202"/>
      <c r="B313" s="203"/>
      <c r="C313" s="203" t="s">
        <v>549</v>
      </c>
      <c r="D313" s="200">
        <f t="shared" si="146"/>
        <v>0.585264</v>
      </c>
      <c r="E313" s="204">
        <f t="shared" si="147"/>
        <v>0.585264</v>
      </c>
      <c r="F313" s="205"/>
      <c r="G313" s="205">
        <v>0.585264</v>
      </c>
      <c r="H313" s="205"/>
      <c r="I313" s="204">
        <f t="shared" si="148"/>
        <v>0</v>
      </c>
      <c r="J313" s="212"/>
      <c r="K313" s="205"/>
      <c r="L313" s="205"/>
      <c r="M313" s="213"/>
      <c r="N313" s="176">
        <f t="shared" si="145"/>
        <v>0.585264</v>
      </c>
    </row>
    <row r="314" ht="26.25" hidden="1" customHeight="1" spans="1:14">
      <c r="A314" s="202"/>
      <c r="B314" s="203"/>
      <c r="C314" s="203" t="s">
        <v>549</v>
      </c>
      <c r="D314" s="200">
        <f t="shared" si="146"/>
        <v>0.476792</v>
      </c>
      <c r="E314" s="204">
        <f t="shared" si="147"/>
        <v>0.476792</v>
      </c>
      <c r="F314" s="205"/>
      <c r="G314" s="205">
        <v>0.476792</v>
      </c>
      <c r="H314" s="205"/>
      <c r="I314" s="204">
        <f t="shared" si="148"/>
        <v>0</v>
      </c>
      <c r="J314" s="212"/>
      <c r="K314" s="205"/>
      <c r="L314" s="205"/>
      <c r="M314" s="213"/>
      <c r="N314" s="176">
        <f t="shared" si="145"/>
        <v>0.476792</v>
      </c>
    </row>
    <row r="315" ht="26.25" hidden="1" customHeight="1" spans="1:14">
      <c r="A315" s="202"/>
      <c r="B315" s="203"/>
      <c r="C315" s="203" t="s">
        <v>549</v>
      </c>
      <c r="D315" s="200">
        <f t="shared" si="146"/>
        <v>1.037048</v>
      </c>
      <c r="E315" s="204">
        <f t="shared" si="147"/>
        <v>1.037048</v>
      </c>
      <c r="F315" s="205"/>
      <c r="G315" s="205">
        <v>1.037048</v>
      </c>
      <c r="H315" s="205"/>
      <c r="I315" s="204">
        <f t="shared" si="148"/>
        <v>0</v>
      </c>
      <c r="J315" s="212"/>
      <c r="K315" s="205"/>
      <c r="L315" s="205"/>
      <c r="M315" s="213"/>
      <c r="N315" s="176">
        <f t="shared" si="145"/>
        <v>1.037048</v>
      </c>
    </row>
    <row r="316" ht="26.25" hidden="1" customHeight="1" spans="1:14">
      <c r="A316" s="202"/>
      <c r="B316" s="203"/>
      <c r="C316" s="203" t="s">
        <v>549</v>
      </c>
      <c r="D316" s="200">
        <f t="shared" si="146"/>
        <v>0.5562</v>
      </c>
      <c r="E316" s="204">
        <f t="shared" si="147"/>
        <v>0.5562</v>
      </c>
      <c r="F316" s="205"/>
      <c r="G316" s="205">
        <v>0.5562</v>
      </c>
      <c r="H316" s="205"/>
      <c r="I316" s="204">
        <f t="shared" si="148"/>
        <v>0</v>
      </c>
      <c r="J316" s="212"/>
      <c r="K316" s="205"/>
      <c r="L316" s="205"/>
      <c r="M316" s="213"/>
      <c r="N316" s="176">
        <f t="shared" si="145"/>
        <v>0.5562</v>
      </c>
    </row>
    <row r="317" ht="26.25" hidden="1" customHeight="1" spans="1:14">
      <c r="A317" s="202"/>
      <c r="B317" s="203"/>
      <c r="C317" s="203" t="s">
        <v>549</v>
      </c>
      <c r="D317" s="200">
        <f t="shared" si="146"/>
        <v>0.409624</v>
      </c>
      <c r="E317" s="204">
        <f t="shared" si="147"/>
        <v>0.409624</v>
      </c>
      <c r="F317" s="205"/>
      <c r="G317" s="205">
        <v>0.409624</v>
      </c>
      <c r="H317" s="205"/>
      <c r="I317" s="204">
        <f t="shared" si="148"/>
        <v>0</v>
      </c>
      <c r="J317" s="212"/>
      <c r="K317" s="205"/>
      <c r="L317" s="205"/>
      <c r="M317" s="213"/>
      <c r="N317" s="176">
        <f t="shared" si="145"/>
        <v>0.409624</v>
      </c>
    </row>
    <row r="318" ht="26.25" hidden="1" customHeight="1" spans="1:14">
      <c r="A318" s="202"/>
      <c r="B318" s="203"/>
      <c r="C318" s="203" t="s">
        <v>549</v>
      </c>
      <c r="D318" s="200">
        <f t="shared" si="146"/>
        <v>0.720664</v>
      </c>
      <c r="E318" s="204">
        <f t="shared" si="147"/>
        <v>0.720664</v>
      </c>
      <c r="F318" s="205"/>
      <c r="G318" s="205">
        <v>0.720664</v>
      </c>
      <c r="H318" s="205"/>
      <c r="I318" s="204">
        <f t="shared" si="148"/>
        <v>0</v>
      </c>
      <c r="J318" s="212"/>
      <c r="K318" s="205"/>
      <c r="L318" s="205"/>
      <c r="M318" s="213"/>
      <c r="N318" s="176">
        <f t="shared" si="145"/>
        <v>0.720664</v>
      </c>
    </row>
    <row r="319" ht="26.25" hidden="1" customHeight="1" spans="1:14">
      <c r="A319" s="202"/>
      <c r="B319" s="203"/>
      <c r="C319" s="203" t="s">
        <v>549</v>
      </c>
      <c r="D319" s="200">
        <f t="shared" si="146"/>
        <v>0.548712</v>
      </c>
      <c r="E319" s="204">
        <f t="shared" si="147"/>
        <v>0.548712</v>
      </c>
      <c r="F319" s="205"/>
      <c r="G319" s="205">
        <v>0.548712</v>
      </c>
      <c r="H319" s="205"/>
      <c r="I319" s="204">
        <f t="shared" si="148"/>
        <v>0</v>
      </c>
      <c r="J319" s="212"/>
      <c r="K319" s="205"/>
      <c r="L319" s="205"/>
      <c r="M319" s="213"/>
      <c r="N319" s="176">
        <f t="shared" si="145"/>
        <v>0.548712</v>
      </c>
    </row>
    <row r="320" ht="26.25" hidden="1" customHeight="1" spans="1:14">
      <c r="A320" s="202"/>
      <c r="B320" s="203"/>
      <c r="C320" s="203" t="s">
        <v>549</v>
      </c>
      <c r="D320" s="200">
        <f t="shared" si="146"/>
        <v>1.253496</v>
      </c>
      <c r="E320" s="204">
        <f t="shared" si="147"/>
        <v>1.253496</v>
      </c>
      <c r="F320" s="205"/>
      <c r="G320" s="205">
        <v>1.253496</v>
      </c>
      <c r="H320" s="205"/>
      <c r="I320" s="204">
        <f t="shared" si="148"/>
        <v>0</v>
      </c>
      <c r="J320" s="212"/>
      <c r="K320" s="205"/>
      <c r="L320" s="205"/>
      <c r="M320" s="213"/>
      <c r="N320" s="176">
        <f t="shared" si="145"/>
        <v>1.253496</v>
      </c>
    </row>
    <row r="321" ht="26.25" hidden="1" customHeight="1" spans="1:14">
      <c r="A321" s="202"/>
      <c r="B321" s="203"/>
      <c r="C321" s="203" t="s">
        <v>549</v>
      </c>
      <c r="D321" s="200">
        <f t="shared" si="146"/>
        <v>0.996752</v>
      </c>
      <c r="E321" s="204">
        <f t="shared" si="147"/>
        <v>0.996752</v>
      </c>
      <c r="F321" s="205"/>
      <c r="G321" s="205">
        <v>0.996752</v>
      </c>
      <c r="H321" s="205"/>
      <c r="I321" s="204">
        <f t="shared" si="148"/>
        <v>0</v>
      </c>
      <c r="J321" s="212"/>
      <c r="K321" s="205"/>
      <c r="L321" s="205"/>
      <c r="M321" s="213"/>
      <c r="N321" s="176">
        <f t="shared" si="145"/>
        <v>0.996752</v>
      </c>
    </row>
    <row r="322" ht="26.25" hidden="1" customHeight="1" spans="1:14">
      <c r="A322" s="202"/>
      <c r="B322" s="203"/>
      <c r="C322" s="203" t="s">
        <v>549</v>
      </c>
      <c r="D322" s="200">
        <f t="shared" si="146"/>
        <v>1.200984</v>
      </c>
      <c r="E322" s="204">
        <f t="shared" si="147"/>
        <v>1.200984</v>
      </c>
      <c r="F322" s="205"/>
      <c r="G322" s="205">
        <v>1.200984</v>
      </c>
      <c r="H322" s="205"/>
      <c r="I322" s="204">
        <f t="shared" si="148"/>
        <v>0</v>
      </c>
      <c r="J322" s="212"/>
      <c r="K322" s="205"/>
      <c r="L322" s="205"/>
      <c r="M322" s="213"/>
      <c r="N322" s="176">
        <f t="shared" si="145"/>
        <v>1.200984</v>
      </c>
    </row>
    <row r="323" ht="26.25" hidden="1" customHeight="1" spans="1:14">
      <c r="A323" s="202"/>
      <c r="B323" s="203"/>
      <c r="C323" s="203" t="s">
        <v>549</v>
      </c>
      <c r="D323" s="200">
        <f t="shared" si="146"/>
        <v>1.01336</v>
      </c>
      <c r="E323" s="204">
        <f t="shared" si="147"/>
        <v>1.01336</v>
      </c>
      <c r="F323" s="205"/>
      <c r="G323" s="205">
        <v>1.01336</v>
      </c>
      <c r="H323" s="205"/>
      <c r="I323" s="204">
        <f t="shared" si="148"/>
        <v>0</v>
      </c>
      <c r="J323" s="212"/>
      <c r="K323" s="205"/>
      <c r="L323" s="205"/>
      <c r="M323" s="213"/>
      <c r="N323" s="176">
        <f t="shared" si="145"/>
        <v>1.01336</v>
      </c>
    </row>
    <row r="324" ht="26.25" hidden="1" customHeight="1" spans="1:14">
      <c r="A324" s="202"/>
      <c r="B324" s="203"/>
      <c r="C324" s="203" t="s">
        <v>549</v>
      </c>
      <c r="D324" s="200">
        <f t="shared" si="146"/>
        <v>0.56148</v>
      </c>
      <c r="E324" s="204">
        <f t="shared" si="147"/>
        <v>0.56148</v>
      </c>
      <c r="F324" s="205"/>
      <c r="G324" s="205">
        <v>0.56148</v>
      </c>
      <c r="H324" s="205"/>
      <c r="I324" s="204">
        <f t="shared" si="148"/>
        <v>0</v>
      </c>
      <c r="J324" s="212"/>
      <c r="K324" s="205"/>
      <c r="L324" s="205"/>
      <c r="M324" s="213"/>
      <c r="N324" s="176">
        <f t="shared" si="145"/>
        <v>0.56148</v>
      </c>
    </row>
    <row r="325" ht="26.25" hidden="1" customHeight="1" spans="1:14">
      <c r="A325" s="202"/>
      <c r="B325" s="203"/>
      <c r="C325" s="203" t="s">
        <v>549</v>
      </c>
      <c r="D325" s="200">
        <f t="shared" si="146"/>
        <v>1.110624</v>
      </c>
      <c r="E325" s="204">
        <f t="shared" si="147"/>
        <v>1.110624</v>
      </c>
      <c r="F325" s="205"/>
      <c r="G325" s="205">
        <v>1.110624</v>
      </c>
      <c r="H325" s="205"/>
      <c r="I325" s="204">
        <f t="shared" si="148"/>
        <v>0</v>
      </c>
      <c r="J325" s="212"/>
      <c r="K325" s="205"/>
      <c r="L325" s="205"/>
      <c r="M325" s="213"/>
      <c r="N325" s="176">
        <f t="shared" si="145"/>
        <v>1.110624</v>
      </c>
    </row>
    <row r="326" ht="26.25" hidden="1" customHeight="1" spans="1:14">
      <c r="A326" s="202"/>
      <c r="B326" s="203"/>
      <c r="C326" s="203" t="s">
        <v>549</v>
      </c>
      <c r="D326" s="200">
        <f t="shared" si="146"/>
        <v>0.641664</v>
      </c>
      <c r="E326" s="204">
        <f t="shared" si="147"/>
        <v>0.641664</v>
      </c>
      <c r="F326" s="205"/>
      <c r="G326" s="205">
        <v>0.641664</v>
      </c>
      <c r="H326" s="205"/>
      <c r="I326" s="204">
        <f t="shared" si="148"/>
        <v>0</v>
      </c>
      <c r="J326" s="212"/>
      <c r="K326" s="205"/>
      <c r="L326" s="205"/>
      <c r="M326" s="213"/>
      <c r="N326" s="176">
        <f t="shared" si="145"/>
        <v>0.641664</v>
      </c>
    </row>
    <row r="327" ht="26.25" hidden="1" customHeight="1" spans="1:14">
      <c r="A327" s="202"/>
      <c r="B327" s="203"/>
      <c r="C327" s="203" t="s">
        <v>550</v>
      </c>
      <c r="D327" s="200">
        <f t="shared" si="146"/>
        <v>27.17401</v>
      </c>
      <c r="E327" s="204">
        <f t="shared" si="147"/>
        <v>27.17401</v>
      </c>
      <c r="F327" s="205"/>
      <c r="G327" s="205">
        <v>27.17401</v>
      </c>
      <c r="H327" s="205"/>
      <c r="I327" s="204">
        <f t="shared" si="148"/>
        <v>0</v>
      </c>
      <c r="J327" s="212"/>
      <c r="K327" s="205"/>
      <c r="L327" s="205"/>
      <c r="M327" s="213"/>
      <c r="N327" s="176">
        <f t="shared" si="145"/>
        <v>27.17401</v>
      </c>
    </row>
    <row r="328" ht="26.25" hidden="1" customHeight="1" spans="1:14">
      <c r="A328" s="202"/>
      <c r="B328" s="203"/>
      <c r="C328" s="203" t="s">
        <v>551</v>
      </c>
      <c r="D328" s="200">
        <f t="shared" si="146"/>
        <v>2.56759</v>
      </c>
      <c r="E328" s="204">
        <f t="shared" si="147"/>
        <v>2.56759</v>
      </c>
      <c r="F328" s="205"/>
      <c r="G328" s="205">
        <v>2.56759</v>
      </c>
      <c r="H328" s="205"/>
      <c r="I328" s="204">
        <f t="shared" si="148"/>
        <v>0</v>
      </c>
      <c r="J328" s="212"/>
      <c r="K328" s="205"/>
      <c r="L328" s="205"/>
      <c r="M328" s="213"/>
      <c r="N328" s="176">
        <f t="shared" si="145"/>
        <v>2.56759</v>
      </c>
    </row>
    <row r="329" ht="26.25" hidden="1" customHeight="1" spans="1:14">
      <c r="A329" s="202"/>
      <c r="B329" s="203"/>
      <c r="C329" s="203" t="s">
        <v>551</v>
      </c>
      <c r="D329" s="200">
        <f t="shared" si="146"/>
        <v>1.96128</v>
      </c>
      <c r="E329" s="204">
        <f t="shared" si="147"/>
        <v>1.96128</v>
      </c>
      <c r="F329" s="205"/>
      <c r="G329" s="205">
        <v>1.96128</v>
      </c>
      <c r="H329" s="205"/>
      <c r="I329" s="204">
        <f t="shared" si="148"/>
        <v>0</v>
      </c>
      <c r="J329" s="212"/>
      <c r="K329" s="205"/>
      <c r="L329" s="205"/>
      <c r="M329" s="213"/>
      <c r="N329" s="176">
        <f t="shared" ref="N329:N392" si="149">J329+E329</f>
        <v>1.96128</v>
      </c>
    </row>
    <row r="330" ht="26.25" hidden="1" customHeight="1" spans="1:14">
      <c r="A330" s="202"/>
      <c r="B330" s="203"/>
      <c r="C330" s="203" t="s">
        <v>551</v>
      </c>
      <c r="D330" s="200">
        <f t="shared" si="146"/>
        <v>1.50324</v>
      </c>
      <c r="E330" s="204">
        <f t="shared" si="147"/>
        <v>1.50324</v>
      </c>
      <c r="F330" s="205"/>
      <c r="G330" s="205">
        <v>1.50324</v>
      </c>
      <c r="H330" s="205"/>
      <c r="I330" s="204">
        <f t="shared" si="148"/>
        <v>0</v>
      </c>
      <c r="J330" s="212"/>
      <c r="K330" s="205"/>
      <c r="L330" s="205"/>
      <c r="M330" s="213"/>
      <c r="N330" s="176">
        <f t="shared" si="149"/>
        <v>1.50324</v>
      </c>
    </row>
    <row r="331" ht="26.25" hidden="1" customHeight="1" spans="1:14">
      <c r="A331" s="202"/>
      <c r="B331" s="203"/>
      <c r="C331" s="203" t="s">
        <v>551</v>
      </c>
      <c r="D331" s="200">
        <f t="shared" si="146"/>
        <v>0.563976</v>
      </c>
      <c r="E331" s="204">
        <f t="shared" si="147"/>
        <v>0.563976</v>
      </c>
      <c r="F331" s="205"/>
      <c r="G331" s="205">
        <v>0.563976</v>
      </c>
      <c r="H331" s="205"/>
      <c r="I331" s="204">
        <f t="shared" si="148"/>
        <v>0</v>
      </c>
      <c r="J331" s="212"/>
      <c r="K331" s="205"/>
      <c r="L331" s="205"/>
      <c r="M331" s="213"/>
      <c r="N331" s="176">
        <f t="shared" si="149"/>
        <v>0.563976</v>
      </c>
    </row>
    <row r="332" ht="26.25" hidden="1" customHeight="1" spans="1:14">
      <c r="A332" s="202"/>
      <c r="B332" s="203"/>
      <c r="C332" s="203" t="s">
        <v>551</v>
      </c>
      <c r="D332" s="200">
        <f t="shared" si="146"/>
        <v>0.735669</v>
      </c>
      <c r="E332" s="204">
        <f t="shared" si="147"/>
        <v>0.735669</v>
      </c>
      <c r="F332" s="205"/>
      <c r="G332" s="205">
        <v>0.735669</v>
      </c>
      <c r="H332" s="205"/>
      <c r="I332" s="204">
        <f t="shared" si="148"/>
        <v>0</v>
      </c>
      <c r="J332" s="212"/>
      <c r="K332" s="205"/>
      <c r="L332" s="205"/>
      <c r="M332" s="213"/>
      <c r="N332" s="176">
        <f t="shared" si="149"/>
        <v>0.735669</v>
      </c>
    </row>
    <row r="333" ht="26.25" hidden="1" customHeight="1" spans="1:14">
      <c r="A333" s="202"/>
      <c r="B333" s="203"/>
      <c r="C333" s="203" t="s">
        <v>551</v>
      </c>
      <c r="D333" s="200">
        <f t="shared" si="146"/>
        <v>0.20056</v>
      </c>
      <c r="E333" s="204">
        <f t="shared" si="147"/>
        <v>0.20056</v>
      </c>
      <c r="F333" s="205"/>
      <c r="G333" s="205">
        <v>0.20056</v>
      </c>
      <c r="H333" s="205"/>
      <c r="I333" s="204">
        <f t="shared" si="148"/>
        <v>0</v>
      </c>
      <c r="J333" s="212"/>
      <c r="K333" s="205"/>
      <c r="L333" s="205"/>
      <c r="M333" s="213"/>
      <c r="N333" s="176">
        <f t="shared" si="149"/>
        <v>0.20056</v>
      </c>
    </row>
    <row r="334" ht="26.25" hidden="1" customHeight="1" spans="1:14">
      <c r="A334" s="202"/>
      <c r="B334" s="203"/>
      <c r="C334" s="203" t="s">
        <v>552</v>
      </c>
      <c r="D334" s="200">
        <f t="shared" si="146"/>
        <v>1.463396</v>
      </c>
      <c r="E334" s="204">
        <f t="shared" si="147"/>
        <v>1.463396</v>
      </c>
      <c r="F334" s="205"/>
      <c r="G334" s="205">
        <v>1.463396</v>
      </c>
      <c r="H334" s="205"/>
      <c r="I334" s="204">
        <f t="shared" si="148"/>
        <v>0</v>
      </c>
      <c r="J334" s="212"/>
      <c r="K334" s="205"/>
      <c r="L334" s="205"/>
      <c r="M334" s="213"/>
      <c r="N334" s="176">
        <f t="shared" si="149"/>
        <v>1.463396</v>
      </c>
    </row>
    <row r="335" ht="26.25" hidden="1" customHeight="1" spans="1:14">
      <c r="A335" s="202"/>
      <c r="B335" s="203"/>
      <c r="C335" s="203" t="s">
        <v>553</v>
      </c>
      <c r="D335" s="200">
        <f t="shared" si="146"/>
        <v>1.647182</v>
      </c>
      <c r="E335" s="204">
        <f t="shared" si="147"/>
        <v>1.647182</v>
      </c>
      <c r="F335" s="205"/>
      <c r="G335" s="205">
        <v>1.647182</v>
      </c>
      <c r="H335" s="205"/>
      <c r="I335" s="204">
        <f t="shared" si="148"/>
        <v>0</v>
      </c>
      <c r="J335" s="212"/>
      <c r="K335" s="205"/>
      <c r="L335" s="205"/>
      <c r="M335" s="213"/>
      <c r="N335" s="176">
        <f t="shared" si="149"/>
        <v>1.647182</v>
      </c>
    </row>
    <row r="336" ht="26.25" hidden="1" customHeight="1" spans="1:14">
      <c r="A336" s="202"/>
      <c r="B336" s="203"/>
      <c r="C336" s="203" t="s">
        <v>554</v>
      </c>
      <c r="D336" s="200">
        <f t="shared" si="146"/>
        <v>5.687186</v>
      </c>
      <c r="E336" s="204">
        <f t="shared" si="147"/>
        <v>5.687186</v>
      </c>
      <c r="F336" s="205"/>
      <c r="G336" s="205">
        <v>5.687186</v>
      </c>
      <c r="H336" s="205"/>
      <c r="I336" s="204">
        <f t="shared" si="148"/>
        <v>0</v>
      </c>
      <c r="J336" s="212"/>
      <c r="K336" s="205"/>
      <c r="L336" s="205"/>
      <c r="M336" s="213"/>
      <c r="N336" s="176">
        <f t="shared" si="149"/>
        <v>5.687186</v>
      </c>
    </row>
    <row r="337" ht="26.25" hidden="1" customHeight="1" spans="1:14">
      <c r="A337" s="202"/>
      <c r="B337" s="203"/>
      <c r="C337" s="203" t="s">
        <v>555</v>
      </c>
      <c r="D337" s="200">
        <f t="shared" si="146"/>
        <v>2.827498</v>
      </c>
      <c r="E337" s="204">
        <f t="shared" si="147"/>
        <v>2.827498</v>
      </c>
      <c r="F337" s="205"/>
      <c r="G337" s="205">
        <v>2.827498</v>
      </c>
      <c r="H337" s="205"/>
      <c r="I337" s="204">
        <f t="shared" si="148"/>
        <v>0</v>
      </c>
      <c r="J337" s="212"/>
      <c r="K337" s="205"/>
      <c r="L337" s="205"/>
      <c r="M337" s="213"/>
      <c r="N337" s="176">
        <f t="shared" si="149"/>
        <v>2.827498</v>
      </c>
    </row>
    <row r="338" ht="26.25" hidden="1" customHeight="1" spans="1:14">
      <c r="A338" s="202"/>
      <c r="B338" s="203"/>
      <c r="C338" s="203" t="s">
        <v>556</v>
      </c>
      <c r="D338" s="200">
        <f t="shared" si="146"/>
        <v>1.091508</v>
      </c>
      <c r="E338" s="204">
        <f t="shared" si="147"/>
        <v>1.091508</v>
      </c>
      <c r="F338" s="205"/>
      <c r="G338" s="205">
        <v>1.091508</v>
      </c>
      <c r="H338" s="205"/>
      <c r="I338" s="204">
        <f t="shared" si="148"/>
        <v>0</v>
      </c>
      <c r="J338" s="212"/>
      <c r="K338" s="205"/>
      <c r="L338" s="205"/>
      <c r="M338" s="213"/>
      <c r="N338" s="176">
        <f t="shared" si="149"/>
        <v>1.091508</v>
      </c>
    </row>
    <row r="339" ht="26.25" hidden="1" customHeight="1" spans="1:14">
      <c r="A339" s="202"/>
      <c r="B339" s="203"/>
      <c r="C339" s="203" t="s">
        <v>557</v>
      </c>
      <c r="D339" s="200">
        <f t="shared" si="146"/>
        <v>5.721812</v>
      </c>
      <c r="E339" s="204">
        <f t="shared" si="147"/>
        <v>5.721812</v>
      </c>
      <c r="F339" s="205"/>
      <c r="G339" s="205">
        <v>5.721812</v>
      </c>
      <c r="H339" s="205"/>
      <c r="I339" s="204">
        <f t="shared" si="148"/>
        <v>0</v>
      </c>
      <c r="J339" s="212"/>
      <c r="K339" s="205"/>
      <c r="L339" s="205"/>
      <c r="M339" s="213"/>
      <c r="N339" s="176">
        <f t="shared" si="149"/>
        <v>5.721812</v>
      </c>
    </row>
    <row r="340" ht="26.25" hidden="1" customHeight="1" spans="1:14">
      <c r="A340" s="202"/>
      <c r="B340" s="203"/>
      <c r="C340" s="203" t="s">
        <v>558</v>
      </c>
      <c r="D340" s="200">
        <f t="shared" si="146"/>
        <v>2.996552</v>
      </c>
      <c r="E340" s="204">
        <f t="shared" si="147"/>
        <v>2.996552</v>
      </c>
      <c r="F340" s="205"/>
      <c r="G340" s="205">
        <v>2.996552</v>
      </c>
      <c r="H340" s="205"/>
      <c r="I340" s="204">
        <f t="shared" si="148"/>
        <v>0</v>
      </c>
      <c r="J340" s="212"/>
      <c r="K340" s="205"/>
      <c r="L340" s="205"/>
      <c r="M340" s="213"/>
      <c r="N340" s="176">
        <f t="shared" si="149"/>
        <v>2.996552</v>
      </c>
    </row>
    <row r="341" ht="26.25" hidden="1" customHeight="1" spans="1:14">
      <c r="A341" s="202"/>
      <c r="B341" s="203"/>
      <c r="C341" s="203" t="s">
        <v>559</v>
      </c>
      <c r="D341" s="200">
        <f t="shared" si="146"/>
        <v>1.500632</v>
      </c>
      <c r="E341" s="204">
        <f t="shared" si="147"/>
        <v>1.500632</v>
      </c>
      <c r="F341" s="205"/>
      <c r="G341" s="205">
        <v>1.500632</v>
      </c>
      <c r="H341" s="205"/>
      <c r="I341" s="204">
        <f t="shared" si="148"/>
        <v>0</v>
      </c>
      <c r="J341" s="212"/>
      <c r="K341" s="205"/>
      <c r="L341" s="205"/>
      <c r="M341" s="213"/>
      <c r="N341" s="176">
        <f t="shared" si="149"/>
        <v>1.500632</v>
      </c>
    </row>
    <row r="342" ht="26.25" hidden="1" customHeight="1" spans="1:14">
      <c r="A342" s="202"/>
      <c r="B342" s="203"/>
      <c r="C342" s="203" t="s">
        <v>560</v>
      </c>
      <c r="D342" s="200">
        <f t="shared" ref="D342:D405" si="150">E342+I342</f>
        <v>21.245976</v>
      </c>
      <c r="E342" s="204">
        <f t="shared" ref="E342:E405" si="151">SUM(F342:H342)</f>
        <v>21.245976</v>
      </c>
      <c r="F342" s="205"/>
      <c r="G342" s="205">
        <v>21.245976</v>
      </c>
      <c r="H342" s="205"/>
      <c r="I342" s="204">
        <f t="shared" ref="I342:I405" si="152">SUM(J342:L342)</f>
        <v>0</v>
      </c>
      <c r="J342" s="212"/>
      <c r="K342" s="205"/>
      <c r="L342" s="205"/>
      <c r="M342" s="213"/>
      <c r="N342" s="176">
        <f t="shared" si="149"/>
        <v>21.245976</v>
      </c>
    </row>
    <row r="343" ht="26.25" hidden="1" customHeight="1" spans="1:14">
      <c r="A343" s="202"/>
      <c r="B343" s="203"/>
      <c r="C343" s="203" t="s">
        <v>459</v>
      </c>
      <c r="D343" s="200">
        <f t="shared" si="150"/>
        <v>6.271254</v>
      </c>
      <c r="E343" s="204">
        <f t="shared" si="151"/>
        <v>6.271254</v>
      </c>
      <c r="F343" s="205"/>
      <c r="G343" s="205">
        <v>6.271254</v>
      </c>
      <c r="H343" s="205"/>
      <c r="I343" s="204">
        <f t="shared" si="152"/>
        <v>0</v>
      </c>
      <c r="J343" s="212"/>
      <c r="K343" s="205"/>
      <c r="L343" s="205"/>
      <c r="M343" s="213"/>
      <c r="N343" s="176">
        <f t="shared" si="149"/>
        <v>6.271254</v>
      </c>
    </row>
    <row r="344" ht="26.25" hidden="1" customHeight="1" spans="1:14">
      <c r="A344" s="202"/>
      <c r="B344" s="203"/>
      <c r="C344" s="203" t="s">
        <v>561</v>
      </c>
      <c r="D344" s="200">
        <f t="shared" si="150"/>
        <v>4.051432</v>
      </c>
      <c r="E344" s="204">
        <f t="shared" si="151"/>
        <v>4.051432</v>
      </c>
      <c r="F344" s="205"/>
      <c r="G344" s="205">
        <v>4.051432</v>
      </c>
      <c r="H344" s="205"/>
      <c r="I344" s="204">
        <f t="shared" si="152"/>
        <v>0</v>
      </c>
      <c r="J344" s="212"/>
      <c r="K344" s="205"/>
      <c r="L344" s="205"/>
      <c r="M344" s="213"/>
      <c r="N344" s="176">
        <f t="shared" si="149"/>
        <v>4.051432</v>
      </c>
    </row>
    <row r="345" ht="26.25" hidden="1" customHeight="1" spans="1:14">
      <c r="A345" s="202"/>
      <c r="B345" s="203"/>
      <c r="C345" s="203" t="s">
        <v>562</v>
      </c>
      <c r="D345" s="200">
        <f t="shared" si="150"/>
        <v>1.697844</v>
      </c>
      <c r="E345" s="204">
        <f t="shared" si="151"/>
        <v>1.697844</v>
      </c>
      <c r="F345" s="205"/>
      <c r="G345" s="205">
        <v>1.697844</v>
      </c>
      <c r="H345" s="205"/>
      <c r="I345" s="204">
        <f t="shared" si="152"/>
        <v>0</v>
      </c>
      <c r="J345" s="212"/>
      <c r="K345" s="205"/>
      <c r="L345" s="205"/>
      <c r="M345" s="213"/>
      <c r="N345" s="176">
        <f t="shared" si="149"/>
        <v>1.697844</v>
      </c>
    </row>
    <row r="346" ht="26.25" hidden="1" customHeight="1" spans="1:14">
      <c r="A346" s="202"/>
      <c r="B346" s="203"/>
      <c r="C346" s="203" t="s">
        <v>563</v>
      </c>
      <c r="D346" s="200">
        <f t="shared" si="150"/>
        <v>2.51872</v>
      </c>
      <c r="E346" s="204">
        <f t="shared" si="151"/>
        <v>2.51872</v>
      </c>
      <c r="F346" s="205"/>
      <c r="G346" s="205">
        <v>2.51872</v>
      </c>
      <c r="H346" s="205"/>
      <c r="I346" s="204">
        <f t="shared" si="152"/>
        <v>0</v>
      </c>
      <c r="J346" s="212"/>
      <c r="K346" s="205"/>
      <c r="L346" s="205"/>
      <c r="M346" s="213"/>
      <c r="N346" s="176">
        <f t="shared" si="149"/>
        <v>2.51872</v>
      </c>
    </row>
    <row r="347" ht="26.25" hidden="1" customHeight="1" spans="1:14">
      <c r="A347" s="202"/>
      <c r="B347" s="203"/>
      <c r="C347" s="203" t="s">
        <v>564</v>
      </c>
      <c r="D347" s="200">
        <f t="shared" si="150"/>
        <v>8.441906</v>
      </c>
      <c r="E347" s="204">
        <f t="shared" si="151"/>
        <v>8.441906</v>
      </c>
      <c r="F347" s="205"/>
      <c r="G347" s="205">
        <v>8.441906</v>
      </c>
      <c r="H347" s="205"/>
      <c r="I347" s="204">
        <f t="shared" si="152"/>
        <v>0</v>
      </c>
      <c r="J347" s="212"/>
      <c r="K347" s="205"/>
      <c r="L347" s="205"/>
      <c r="M347" s="213"/>
      <c r="N347" s="176">
        <f t="shared" si="149"/>
        <v>8.441906</v>
      </c>
    </row>
    <row r="348" ht="26.25" hidden="1" customHeight="1" spans="1:14">
      <c r="A348" s="202"/>
      <c r="B348" s="203"/>
      <c r="C348" s="203" t="s">
        <v>564</v>
      </c>
      <c r="D348" s="200">
        <f t="shared" si="150"/>
        <v>0.621504</v>
      </c>
      <c r="E348" s="204">
        <f t="shared" si="151"/>
        <v>0.621504</v>
      </c>
      <c r="F348" s="205"/>
      <c r="G348" s="205">
        <v>0.621504</v>
      </c>
      <c r="H348" s="205"/>
      <c r="I348" s="204">
        <f t="shared" si="152"/>
        <v>0</v>
      </c>
      <c r="J348" s="212"/>
      <c r="K348" s="205"/>
      <c r="L348" s="205"/>
      <c r="M348" s="213"/>
      <c r="N348" s="176">
        <f t="shared" si="149"/>
        <v>0.621504</v>
      </c>
    </row>
    <row r="349" ht="26.25" hidden="1" customHeight="1" spans="1:14">
      <c r="A349" s="202"/>
      <c r="B349" s="203"/>
      <c r="C349" s="203" t="s">
        <v>564</v>
      </c>
      <c r="D349" s="200">
        <f t="shared" si="150"/>
        <v>1.751032</v>
      </c>
      <c r="E349" s="204">
        <f t="shared" si="151"/>
        <v>1.751032</v>
      </c>
      <c r="F349" s="205"/>
      <c r="G349" s="205">
        <v>1.751032</v>
      </c>
      <c r="H349" s="205"/>
      <c r="I349" s="204">
        <f t="shared" si="152"/>
        <v>0</v>
      </c>
      <c r="J349" s="212"/>
      <c r="K349" s="205"/>
      <c r="L349" s="205"/>
      <c r="M349" s="213"/>
      <c r="N349" s="176">
        <f t="shared" si="149"/>
        <v>1.751032</v>
      </c>
    </row>
    <row r="350" ht="26.25" hidden="1" customHeight="1" spans="1:14">
      <c r="A350" s="202"/>
      <c r="B350" s="203"/>
      <c r="C350" s="203" t="s">
        <v>564</v>
      </c>
      <c r="D350" s="200">
        <f t="shared" si="150"/>
        <v>0.386696</v>
      </c>
      <c r="E350" s="204">
        <f t="shared" si="151"/>
        <v>0.386696</v>
      </c>
      <c r="F350" s="205"/>
      <c r="G350" s="205">
        <v>0.386696</v>
      </c>
      <c r="H350" s="205"/>
      <c r="I350" s="204">
        <f t="shared" si="152"/>
        <v>0</v>
      </c>
      <c r="J350" s="212"/>
      <c r="K350" s="205"/>
      <c r="L350" s="205"/>
      <c r="M350" s="213"/>
      <c r="N350" s="176">
        <f t="shared" si="149"/>
        <v>0.386696</v>
      </c>
    </row>
    <row r="351" ht="26.25" hidden="1" customHeight="1" spans="1:14">
      <c r="A351" s="202"/>
      <c r="B351" s="203"/>
      <c r="C351" s="203" t="s">
        <v>564</v>
      </c>
      <c r="D351" s="200">
        <f t="shared" si="150"/>
        <v>0.698656</v>
      </c>
      <c r="E351" s="204">
        <f t="shared" si="151"/>
        <v>0.698656</v>
      </c>
      <c r="F351" s="205"/>
      <c r="G351" s="205">
        <v>0.698656</v>
      </c>
      <c r="H351" s="205"/>
      <c r="I351" s="204">
        <f t="shared" si="152"/>
        <v>0</v>
      </c>
      <c r="J351" s="212"/>
      <c r="K351" s="205"/>
      <c r="L351" s="205"/>
      <c r="M351" s="213"/>
      <c r="N351" s="176">
        <f t="shared" si="149"/>
        <v>0.698656</v>
      </c>
    </row>
    <row r="352" ht="26.25" hidden="1" customHeight="1" spans="1:14">
      <c r="A352" s="202"/>
      <c r="B352" s="203"/>
      <c r="C352" s="203" t="s">
        <v>564</v>
      </c>
      <c r="D352" s="200">
        <f t="shared" si="150"/>
        <v>0.319616</v>
      </c>
      <c r="E352" s="204">
        <f t="shared" si="151"/>
        <v>0.319616</v>
      </c>
      <c r="F352" s="205"/>
      <c r="G352" s="205">
        <v>0.319616</v>
      </c>
      <c r="H352" s="205"/>
      <c r="I352" s="204">
        <f t="shared" si="152"/>
        <v>0</v>
      </c>
      <c r="J352" s="212"/>
      <c r="K352" s="205"/>
      <c r="L352" s="205"/>
      <c r="M352" s="213"/>
      <c r="N352" s="176">
        <f t="shared" si="149"/>
        <v>0.319616</v>
      </c>
    </row>
    <row r="353" ht="26.25" hidden="1" customHeight="1" spans="1:14">
      <c r="A353" s="202"/>
      <c r="B353" s="203"/>
      <c r="C353" s="203" t="s">
        <v>564</v>
      </c>
      <c r="D353" s="200">
        <f t="shared" si="150"/>
        <v>0.350888</v>
      </c>
      <c r="E353" s="204">
        <f t="shared" si="151"/>
        <v>0.350888</v>
      </c>
      <c r="F353" s="205"/>
      <c r="G353" s="205">
        <v>0.350888</v>
      </c>
      <c r="H353" s="205"/>
      <c r="I353" s="204">
        <f t="shared" si="152"/>
        <v>0</v>
      </c>
      <c r="J353" s="212"/>
      <c r="K353" s="205"/>
      <c r="L353" s="205"/>
      <c r="M353" s="213"/>
      <c r="N353" s="176">
        <f t="shared" si="149"/>
        <v>0.350888</v>
      </c>
    </row>
    <row r="354" ht="26.25" hidden="1" customHeight="1" spans="1:14">
      <c r="A354" s="202"/>
      <c r="B354" s="203"/>
      <c r="C354" s="203" t="s">
        <v>564</v>
      </c>
      <c r="D354" s="200">
        <f t="shared" si="150"/>
        <v>2.483144</v>
      </c>
      <c r="E354" s="204">
        <f t="shared" si="151"/>
        <v>2.483144</v>
      </c>
      <c r="F354" s="205"/>
      <c r="G354" s="205">
        <v>2.483144</v>
      </c>
      <c r="H354" s="205"/>
      <c r="I354" s="204">
        <f t="shared" si="152"/>
        <v>0</v>
      </c>
      <c r="J354" s="212"/>
      <c r="K354" s="205"/>
      <c r="L354" s="205"/>
      <c r="M354" s="213"/>
      <c r="N354" s="176">
        <f t="shared" si="149"/>
        <v>2.483144</v>
      </c>
    </row>
    <row r="355" ht="26.25" hidden="1" customHeight="1" spans="1:14">
      <c r="A355" s="202"/>
      <c r="B355" s="203"/>
      <c r="C355" s="203" t="s">
        <v>564</v>
      </c>
      <c r="D355" s="200">
        <f t="shared" si="150"/>
        <v>0.440504</v>
      </c>
      <c r="E355" s="204">
        <f t="shared" si="151"/>
        <v>0.440504</v>
      </c>
      <c r="F355" s="205"/>
      <c r="G355" s="205">
        <v>0.440504</v>
      </c>
      <c r="H355" s="205"/>
      <c r="I355" s="204">
        <f t="shared" si="152"/>
        <v>0</v>
      </c>
      <c r="J355" s="212"/>
      <c r="K355" s="205"/>
      <c r="L355" s="205"/>
      <c r="M355" s="213"/>
      <c r="N355" s="176">
        <f t="shared" si="149"/>
        <v>0.440504</v>
      </c>
    </row>
    <row r="356" ht="26.25" hidden="1" customHeight="1" spans="1:14">
      <c r="A356" s="202"/>
      <c r="B356" s="203"/>
      <c r="C356" s="203" t="s">
        <v>565</v>
      </c>
      <c r="D356" s="200">
        <f t="shared" si="150"/>
        <v>5.547014</v>
      </c>
      <c r="E356" s="204">
        <f t="shared" si="151"/>
        <v>5.547014</v>
      </c>
      <c r="F356" s="205"/>
      <c r="G356" s="205">
        <v>5.547014</v>
      </c>
      <c r="H356" s="205"/>
      <c r="I356" s="204">
        <f t="shared" si="152"/>
        <v>0</v>
      </c>
      <c r="J356" s="212"/>
      <c r="K356" s="205"/>
      <c r="L356" s="205"/>
      <c r="M356" s="213"/>
      <c r="N356" s="176">
        <f t="shared" si="149"/>
        <v>5.547014</v>
      </c>
    </row>
    <row r="357" ht="26.25" hidden="1" customHeight="1" spans="1:14">
      <c r="A357" s="202"/>
      <c r="B357" s="203"/>
      <c r="C357" s="203" t="s">
        <v>565</v>
      </c>
      <c r="D357" s="200">
        <f t="shared" si="150"/>
        <v>0.747448</v>
      </c>
      <c r="E357" s="204">
        <f t="shared" si="151"/>
        <v>0.747448</v>
      </c>
      <c r="F357" s="205"/>
      <c r="G357" s="205">
        <v>0.747448</v>
      </c>
      <c r="H357" s="205"/>
      <c r="I357" s="204">
        <f t="shared" si="152"/>
        <v>0</v>
      </c>
      <c r="J357" s="212"/>
      <c r="K357" s="205"/>
      <c r="L357" s="205"/>
      <c r="M357" s="213"/>
      <c r="N357" s="176">
        <f t="shared" si="149"/>
        <v>0.747448</v>
      </c>
    </row>
    <row r="358" ht="26.25" hidden="1" customHeight="1" spans="1:14">
      <c r="A358" s="202"/>
      <c r="B358" s="203"/>
      <c r="C358" s="203" t="s">
        <v>565</v>
      </c>
      <c r="D358" s="200">
        <f t="shared" si="150"/>
        <v>0.857936</v>
      </c>
      <c r="E358" s="204">
        <f t="shared" si="151"/>
        <v>0.857936</v>
      </c>
      <c r="F358" s="205"/>
      <c r="G358" s="205">
        <v>0.857936</v>
      </c>
      <c r="H358" s="205"/>
      <c r="I358" s="204">
        <f t="shared" si="152"/>
        <v>0</v>
      </c>
      <c r="J358" s="212"/>
      <c r="K358" s="205"/>
      <c r="L358" s="205"/>
      <c r="M358" s="213"/>
      <c r="N358" s="176">
        <f t="shared" si="149"/>
        <v>0.857936</v>
      </c>
    </row>
    <row r="359" ht="26.25" hidden="1" customHeight="1" spans="1:14">
      <c r="A359" s="202"/>
      <c r="B359" s="203"/>
      <c r="C359" s="203" t="s">
        <v>565</v>
      </c>
      <c r="D359" s="200">
        <f t="shared" si="150"/>
        <v>0.356336</v>
      </c>
      <c r="E359" s="204">
        <f t="shared" si="151"/>
        <v>0.356336</v>
      </c>
      <c r="F359" s="205"/>
      <c r="G359" s="205">
        <v>0.356336</v>
      </c>
      <c r="H359" s="205"/>
      <c r="I359" s="204">
        <f t="shared" si="152"/>
        <v>0</v>
      </c>
      <c r="J359" s="212"/>
      <c r="K359" s="205"/>
      <c r="L359" s="205"/>
      <c r="M359" s="213"/>
      <c r="N359" s="176">
        <f t="shared" si="149"/>
        <v>0.356336</v>
      </c>
    </row>
    <row r="360" ht="26.25" hidden="1" customHeight="1" spans="1:14">
      <c r="A360" s="202"/>
      <c r="B360" s="203"/>
      <c r="C360" s="203" t="s">
        <v>565</v>
      </c>
      <c r="D360" s="200">
        <f t="shared" si="150"/>
        <v>0.528096</v>
      </c>
      <c r="E360" s="204">
        <f t="shared" si="151"/>
        <v>0.528096</v>
      </c>
      <c r="F360" s="205"/>
      <c r="G360" s="205">
        <v>0.528096</v>
      </c>
      <c r="H360" s="205"/>
      <c r="I360" s="204">
        <f t="shared" si="152"/>
        <v>0</v>
      </c>
      <c r="J360" s="212"/>
      <c r="K360" s="205"/>
      <c r="L360" s="205"/>
      <c r="M360" s="213"/>
      <c r="N360" s="176">
        <f t="shared" si="149"/>
        <v>0.528096</v>
      </c>
    </row>
    <row r="361" ht="26.25" hidden="1" customHeight="1" spans="1:14">
      <c r="A361" s="202"/>
      <c r="B361" s="203"/>
      <c r="C361" s="203" t="s">
        <v>565</v>
      </c>
      <c r="D361" s="200">
        <f t="shared" si="150"/>
        <v>0.17012</v>
      </c>
      <c r="E361" s="204">
        <f t="shared" si="151"/>
        <v>0.17012</v>
      </c>
      <c r="F361" s="205"/>
      <c r="G361" s="205">
        <v>0.17012</v>
      </c>
      <c r="H361" s="205"/>
      <c r="I361" s="204">
        <f t="shared" si="152"/>
        <v>0</v>
      </c>
      <c r="J361" s="212"/>
      <c r="K361" s="205"/>
      <c r="L361" s="205"/>
      <c r="M361" s="213"/>
      <c r="N361" s="176">
        <f t="shared" si="149"/>
        <v>0.17012</v>
      </c>
    </row>
    <row r="362" ht="26.25" hidden="1" customHeight="1" spans="1:14">
      <c r="A362" s="202"/>
      <c r="B362" s="203"/>
      <c r="C362" s="203" t="s">
        <v>565</v>
      </c>
      <c r="D362" s="200">
        <f t="shared" si="150"/>
        <v>0.354248</v>
      </c>
      <c r="E362" s="204">
        <f t="shared" si="151"/>
        <v>0.354248</v>
      </c>
      <c r="F362" s="205"/>
      <c r="G362" s="205">
        <v>0.354248</v>
      </c>
      <c r="H362" s="205"/>
      <c r="I362" s="204">
        <f t="shared" si="152"/>
        <v>0</v>
      </c>
      <c r="J362" s="212"/>
      <c r="K362" s="205"/>
      <c r="L362" s="205"/>
      <c r="M362" s="213"/>
      <c r="N362" s="176">
        <f t="shared" si="149"/>
        <v>0.354248</v>
      </c>
    </row>
    <row r="363" ht="26.25" hidden="1" customHeight="1" spans="1:14">
      <c r="A363" s="202"/>
      <c r="B363" s="203"/>
      <c r="C363" s="203" t="s">
        <v>565</v>
      </c>
      <c r="D363" s="200">
        <f t="shared" si="150"/>
        <v>1.543992</v>
      </c>
      <c r="E363" s="204">
        <f t="shared" si="151"/>
        <v>1.543992</v>
      </c>
      <c r="F363" s="205"/>
      <c r="G363" s="205">
        <v>1.543992</v>
      </c>
      <c r="H363" s="205"/>
      <c r="I363" s="204">
        <f t="shared" si="152"/>
        <v>0</v>
      </c>
      <c r="J363" s="212"/>
      <c r="K363" s="205"/>
      <c r="L363" s="205"/>
      <c r="M363" s="213"/>
      <c r="N363" s="176">
        <f t="shared" si="149"/>
        <v>1.543992</v>
      </c>
    </row>
    <row r="364" ht="26.25" hidden="1" customHeight="1" spans="1:14">
      <c r="A364" s="202"/>
      <c r="B364" s="203"/>
      <c r="C364" s="203" t="s">
        <v>565</v>
      </c>
      <c r="D364" s="200">
        <f t="shared" si="150"/>
        <v>0.218152</v>
      </c>
      <c r="E364" s="204">
        <f t="shared" si="151"/>
        <v>0.218152</v>
      </c>
      <c r="F364" s="205"/>
      <c r="G364" s="205">
        <v>0.218152</v>
      </c>
      <c r="H364" s="205"/>
      <c r="I364" s="204">
        <f t="shared" si="152"/>
        <v>0</v>
      </c>
      <c r="J364" s="212"/>
      <c r="K364" s="205"/>
      <c r="L364" s="205"/>
      <c r="M364" s="213"/>
      <c r="N364" s="176">
        <f t="shared" si="149"/>
        <v>0.218152</v>
      </c>
    </row>
    <row r="365" ht="26.25" hidden="1" customHeight="1" spans="1:14">
      <c r="A365" s="202"/>
      <c r="B365" s="203"/>
      <c r="C365" s="203" t="s">
        <v>566</v>
      </c>
      <c r="D365" s="200">
        <f t="shared" si="150"/>
        <v>8.23933</v>
      </c>
      <c r="E365" s="204">
        <f t="shared" si="151"/>
        <v>8.23933</v>
      </c>
      <c r="F365" s="205"/>
      <c r="G365" s="205">
        <v>8.23933</v>
      </c>
      <c r="H365" s="205"/>
      <c r="I365" s="204">
        <f t="shared" si="152"/>
        <v>0</v>
      </c>
      <c r="J365" s="212"/>
      <c r="K365" s="205"/>
      <c r="L365" s="205"/>
      <c r="M365" s="213"/>
      <c r="N365" s="176">
        <f t="shared" si="149"/>
        <v>8.23933</v>
      </c>
    </row>
    <row r="366" ht="26.25" hidden="1" customHeight="1" spans="1:14">
      <c r="A366" s="202"/>
      <c r="B366" s="203"/>
      <c r="C366" s="203" t="s">
        <v>566</v>
      </c>
      <c r="D366" s="200">
        <f t="shared" si="150"/>
        <v>1.203272</v>
      </c>
      <c r="E366" s="204">
        <f t="shared" si="151"/>
        <v>1.203272</v>
      </c>
      <c r="F366" s="205"/>
      <c r="G366" s="205">
        <v>1.203272</v>
      </c>
      <c r="H366" s="205"/>
      <c r="I366" s="204">
        <f t="shared" si="152"/>
        <v>0</v>
      </c>
      <c r="J366" s="212"/>
      <c r="K366" s="205"/>
      <c r="L366" s="205"/>
      <c r="M366" s="213"/>
      <c r="N366" s="176">
        <f t="shared" si="149"/>
        <v>1.203272</v>
      </c>
    </row>
    <row r="367" ht="26.25" hidden="1" customHeight="1" spans="1:14">
      <c r="A367" s="202"/>
      <c r="B367" s="203"/>
      <c r="C367" s="203" t="s">
        <v>566</v>
      </c>
      <c r="D367" s="200">
        <f t="shared" si="150"/>
        <v>1.52616</v>
      </c>
      <c r="E367" s="204">
        <f t="shared" si="151"/>
        <v>1.52616</v>
      </c>
      <c r="F367" s="205"/>
      <c r="G367" s="205">
        <v>1.52616</v>
      </c>
      <c r="H367" s="205"/>
      <c r="I367" s="204">
        <f t="shared" si="152"/>
        <v>0</v>
      </c>
      <c r="J367" s="212"/>
      <c r="K367" s="205"/>
      <c r="L367" s="205"/>
      <c r="M367" s="213"/>
      <c r="N367" s="176">
        <f t="shared" si="149"/>
        <v>1.52616</v>
      </c>
    </row>
    <row r="368" ht="26.25" hidden="1" customHeight="1" spans="1:14">
      <c r="A368" s="202"/>
      <c r="B368" s="203"/>
      <c r="C368" s="203" t="s">
        <v>566</v>
      </c>
      <c r="D368" s="200">
        <f t="shared" si="150"/>
        <v>0.365408</v>
      </c>
      <c r="E368" s="204">
        <f t="shared" si="151"/>
        <v>0.365408</v>
      </c>
      <c r="F368" s="205"/>
      <c r="G368" s="205">
        <v>0.365408</v>
      </c>
      <c r="H368" s="205"/>
      <c r="I368" s="204">
        <f t="shared" si="152"/>
        <v>0</v>
      </c>
      <c r="J368" s="212"/>
      <c r="K368" s="205"/>
      <c r="L368" s="205"/>
      <c r="M368" s="213"/>
      <c r="N368" s="176">
        <f t="shared" si="149"/>
        <v>0.365408</v>
      </c>
    </row>
    <row r="369" ht="26.25" hidden="1" customHeight="1" spans="1:14">
      <c r="A369" s="202"/>
      <c r="B369" s="203"/>
      <c r="C369" s="203" t="s">
        <v>566</v>
      </c>
      <c r="D369" s="200">
        <f t="shared" si="150"/>
        <v>0.895744</v>
      </c>
      <c r="E369" s="204">
        <f t="shared" si="151"/>
        <v>0.895744</v>
      </c>
      <c r="F369" s="205"/>
      <c r="G369" s="205">
        <v>0.895744</v>
      </c>
      <c r="H369" s="205"/>
      <c r="I369" s="204">
        <f t="shared" si="152"/>
        <v>0</v>
      </c>
      <c r="J369" s="212"/>
      <c r="K369" s="205"/>
      <c r="L369" s="205"/>
      <c r="M369" s="213"/>
      <c r="N369" s="176">
        <f t="shared" si="149"/>
        <v>0.895744</v>
      </c>
    </row>
    <row r="370" ht="26.25" hidden="1" customHeight="1" spans="1:14">
      <c r="A370" s="202"/>
      <c r="B370" s="203"/>
      <c r="C370" s="203" t="s">
        <v>566</v>
      </c>
      <c r="D370" s="200">
        <f t="shared" si="150"/>
        <v>1.322656</v>
      </c>
      <c r="E370" s="204">
        <f t="shared" si="151"/>
        <v>1.322656</v>
      </c>
      <c r="F370" s="205"/>
      <c r="G370" s="205">
        <v>1.322656</v>
      </c>
      <c r="H370" s="205"/>
      <c r="I370" s="204">
        <f t="shared" si="152"/>
        <v>0</v>
      </c>
      <c r="J370" s="212"/>
      <c r="K370" s="205"/>
      <c r="L370" s="205"/>
      <c r="M370" s="213"/>
      <c r="N370" s="176">
        <f t="shared" si="149"/>
        <v>1.322656</v>
      </c>
    </row>
    <row r="371" ht="26.25" hidden="1" customHeight="1" spans="1:14">
      <c r="A371" s="202"/>
      <c r="B371" s="203"/>
      <c r="C371" s="203" t="s">
        <v>566</v>
      </c>
      <c r="D371" s="200">
        <f t="shared" si="150"/>
        <v>0.6246</v>
      </c>
      <c r="E371" s="204">
        <f t="shared" si="151"/>
        <v>0.6246</v>
      </c>
      <c r="F371" s="205"/>
      <c r="G371" s="205">
        <v>0.6246</v>
      </c>
      <c r="H371" s="205"/>
      <c r="I371" s="204">
        <f t="shared" si="152"/>
        <v>0</v>
      </c>
      <c r="J371" s="212"/>
      <c r="K371" s="205"/>
      <c r="L371" s="205"/>
      <c r="M371" s="213"/>
      <c r="N371" s="176">
        <f t="shared" si="149"/>
        <v>0.6246</v>
      </c>
    </row>
    <row r="372" ht="26.25" hidden="1" customHeight="1" spans="1:14">
      <c r="A372" s="202"/>
      <c r="B372" s="203"/>
      <c r="C372" s="203" t="s">
        <v>566</v>
      </c>
      <c r="D372" s="200">
        <f t="shared" si="150"/>
        <v>0.538128</v>
      </c>
      <c r="E372" s="204">
        <f t="shared" si="151"/>
        <v>0.538128</v>
      </c>
      <c r="F372" s="205"/>
      <c r="G372" s="205">
        <v>0.538128</v>
      </c>
      <c r="H372" s="205"/>
      <c r="I372" s="204">
        <f t="shared" si="152"/>
        <v>0</v>
      </c>
      <c r="J372" s="212"/>
      <c r="K372" s="205"/>
      <c r="L372" s="205"/>
      <c r="M372" s="213"/>
      <c r="N372" s="176">
        <f t="shared" si="149"/>
        <v>0.538128</v>
      </c>
    </row>
    <row r="373" ht="26.25" hidden="1" customHeight="1" spans="1:14">
      <c r="A373" s="202"/>
      <c r="B373" s="203"/>
      <c r="C373" s="203" t="s">
        <v>567</v>
      </c>
      <c r="D373" s="200">
        <f t="shared" si="150"/>
        <v>7.098968</v>
      </c>
      <c r="E373" s="204">
        <f t="shared" si="151"/>
        <v>7.098968</v>
      </c>
      <c r="F373" s="205"/>
      <c r="G373" s="205">
        <v>7.098968</v>
      </c>
      <c r="H373" s="205"/>
      <c r="I373" s="204">
        <f t="shared" si="152"/>
        <v>0</v>
      </c>
      <c r="J373" s="212"/>
      <c r="K373" s="205"/>
      <c r="L373" s="205"/>
      <c r="M373" s="213"/>
      <c r="N373" s="176">
        <f t="shared" si="149"/>
        <v>7.098968</v>
      </c>
    </row>
    <row r="374" ht="26.25" hidden="1" customHeight="1" spans="1:14">
      <c r="A374" s="202"/>
      <c r="B374" s="203"/>
      <c r="C374" s="203" t="s">
        <v>567</v>
      </c>
      <c r="D374" s="200">
        <f t="shared" si="150"/>
        <v>0.691312</v>
      </c>
      <c r="E374" s="204">
        <f t="shared" si="151"/>
        <v>0.691312</v>
      </c>
      <c r="F374" s="205"/>
      <c r="G374" s="205">
        <v>0.691312</v>
      </c>
      <c r="H374" s="205"/>
      <c r="I374" s="204">
        <f t="shared" si="152"/>
        <v>0</v>
      </c>
      <c r="J374" s="212"/>
      <c r="K374" s="205"/>
      <c r="L374" s="205"/>
      <c r="M374" s="213"/>
      <c r="N374" s="176">
        <f t="shared" si="149"/>
        <v>0.691312</v>
      </c>
    </row>
    <row r="375" ht="26.25" hidden="1" customHeight="1" spans="1:14">
      <c r="A375" s="202"/>
      <c r="B375" s="203"/>
      <c r="C375" s="203" t="s">
        <v>567</v>
      </c>
      <c r="D375" s="200">
        <f t="shared" si="150"/>
        <v>1.202552</v>
      </c>
      <c r="E375" s="204">
        <f t="shared" si="151"/>
        <v>1.202552</v>
      </c>
      <c r="F375" s="205"/>
      <c r="G375" s="205">
        <v>1.202552</v>
      </c>
      <c r="H375" s="205"/>
      <c r="I375" s="204">
        <f t="shared" si="152"/>
        <v>0</v>
      </c>
      <c r="J375" s="212"/>
      <c r="K375" s="205"/>
      <c r="L375" s="205"/>
      <c r="M375" s="213"/>
      <c r="N375" s="176">
        <f t="shared" si="149"/>
        <v>1.202552</v>
      </c>
    </row>
    <row r="376" ht="26.25" hidden="1" customHeight="1" spans="1:14">
      <c r="A376" s="202"/>
      <c r="B376" s="203"/>
      <c r="C376" s="203" t="s">
        <v>567</v>
      </c>
      <c r="D376" s="200">
        <f t="shared" si="150"/>
        <v>0.377456</v>
      </c>
      <c r="E376" s="204">
        <f t="shared" si="151"/>
        <v>0.377456</v>
      </c>
      <c r="F376" s="205"/>
      <c r="G376" s="205">
        <v>0.377456</v>
      </c>
      <c r="H376" s="205"/>
      <c r="I376" s="204">
        <f t="shared" si="152"/>
        <v>0</v>
      </c>
      <c r="J376" s="212"/>
      <c r="K376" s="205"/>
      <c r="L376" s="205"/>
      <c r="M376" s="213"/>
      <c r="N376" s="176">
        <f t="shared" si="149"/>
        <v>0.377456</v>
      </c>
    </row>
    <row r="377" ht="26.25" hidden="1" customHeight="1" spans="1:14">
      <c r="A377" s="202"/>
      <c r="B377" s="203"/>
      <c r="C377" s="203" t="s">
        <v>567</v>
      </c>
      <c r="D377" s="200">
        <f t="shared" si="150"/>
        <v>0.680176</v>
      </c>
      <c r="E377" s="204">
        <f t="shared" si="151"/>
        <v>0.680176</v>
      </c>
      <c r="F377" s="205"/>
      <c r="G377" s="205">
        <v>0.680176</v>
      </c>
      <c r="H377" s="205"/>
      <c r="I377" s="204">
        <f t="shared" si="152"/>
        <v>0</v>
      </c>
      <c r="J377" s="212"/>
      <c r="K377" s="205"/>
      <c r="L377" s="205"/>
      <c r="M377" s="213"/>
      <c r="N377" s="176">
        <f t="shared" si="149"/>
        <v>0.680176</v>
      </c>
    </row>
    <row r="378" ht="26.25" hidden="1" customHeight="1" spans="1:14">
      <c r="A378" s="202"/>
      <c r="B378" s="203"/>
      <c r="C378" s="203" t="s">
        <v>567</v>
      </c>
      <c r="D378" s="200">
        <f t="shared" si="150"/>
        <v>0.558144</v>
      </c>
      <c r="E378" s="204">
        <f t="shared" si="151"/>
        <v>0.558144</v>
      </c>
      <c r="F378" s="205"/>
      <c r="G378" s="205">
        <v>0.558144</v>
      </c>
      <c r="H378" s="205"/>
      <c r="I378" s="204">
        <f t="shared" si="152"/>
        <v>0</v>
      </c>
      <c r="J378" s="212"/>
      <c r="K378" s="205"/>
      <c r="L378" s="205"/>
      <c r="M378" s="213"/>
      <c r="N378" s="176">
        <f t="shared" si="149"/>
        <v>0.558144</v>
      </c>
    </row>
    <row r="379" ht="26.25" hidden="1" customHeight="1" spans="1:14">
      <c r="A379" s="202"/>
      <c r="B379" s="203"/>
      <c r="C379" s="203" t="s">
        <v>567</v>
      </c>
      <c r="D379" s="200">
        <f t="shared" si="150"/>
        <v>0.3962</v>
      </c>
      <c r="E379" s="204">
        <f t="shared" si="151"/>
        <v>0.3962</v>
      </c>
      <c r="F379" s="205"/>
      <c r="G379" s="205">
        <v>0.3962</v>
      </c>
      <c r="H379" s="205"/>
      <c r="I379" s="204">
        <f t="shared" si="152"/>
        <v>0</v>
      </c>
      <c r="J379" s="212"/>
      <c r="K379" s="205"/>
      <c r="L379" s="205"/>
      <c r="M379" s="213"/>
      <c r="N379" s="176">
        <f t="shared" si="149"/>
        <v>0.3962</v>
      </c>
    </row>
    <row r="380" ht="26.25" hidden="1" customHeight="1" spans="1:14">
      <c r="A380" s="202"/>
      <c r="B380" s="203"/>
      <c r="C380" s="203" t="s">
        <v>567</v>
      </c>
      <c r="D380" s="200">
        <f t="shared" si="150"/>
        <v>2.08548</v>
      </c>
      <c r="E380" s="204">
        <f t="shared" si="151"/>
        <v>2.08548</v>
      </c>
      <c r="F380" s="205"/>
      <c r="G380" s="205">
        <v>2.08548</v>
      </c>
      <c r="H380" s="205"/>
      <c r="I380" s="204">
        <f t="shared" si="152"/>
        <v>0</v>
      </c>
      <c r="J380" s="212"/>
      <c r="K380" s="205"/>
      <c r="L380" s="205"/>
      <c r="M380" s="213"/>
      <c r="N380" s="176">
        <f t="shared" si="149"/>
        <v>2.08548</v>
      </c>
    </row>
    <row r="381" ht="26.25" hidden="1" customHeight="1" spans="1:14">
      <c r="A381" s="202"/>
      <c r="B381" s="203"/>
      <c r="C381" s="203" t="s">
        <v>568</v>
      </c>
      <c r="D381" s="200">
        <f t="shared" si="150"/>
        <v>7.270336</v>
      </c>
      <c r="E381" s="204">
        <f t="shared" si="151"/>
        <v>7.270336</v>
      </c>
      <c r="F381" s="205"/>
      <c r="G381" s="205">
        <v>7.270336</v>
      </c>
      <c r="H381" s="205"/>
      <c r="I381" s="204">
        <f t="shared" si="152"/>
        <v>0</v>
      </c>
      <c r="J381" s="212"/>
      <c r="K381" s="205"/>
      <c r="L381" s="205"/>
      <c r="M381" s="213"/>
      <c r="N381" s="176">
        <f t="shared" si="149"/>
        <v>7.270336</v>
      </c>
    </row>
    <row r="382" ht="26.25" hidden="1" customHeight="1" spans="1:14">
      <c r="A382" s="202"/>
      <c r="B382" s="203"/>
      <c r="C382" s="203" t="s">
        <v>568</v>
      </c>
      <c r="D382" s="200">
        <f t="shared" si="150"/>
        <v>1.226974</v>
      </c>
      <c r="E382" s="204">
        <f t="shared" si="151"/>
        <v>1.226974</v>
      </c>
      <c r="F382" s="205"/>
      <c r="G382" s="205">
        <v>1.226974</v>
      </c>
      <c r="H382" s="205"/>
      <c r="I382" s="204">
        <f t="shared" si="152"/>
        <v>0</v>
      </c>
      <c r="J382" s="212"/>
      <c r="K382" s="205"/>
      <c r="L382" s="205"/>
      <c r="M382" s="213"/>
      <c r="N382" s="176">
        <f t="shared" si="149"/>
        <v>1.226974</v>
      </c>
    </row>
    <row r="383" ht="26.25" hidden="1" customHeight="1" spans="1:14">
      <c r="A383" s="202"/>
      <c r="B383" s="203"/>
      <c r="C383" s="203" t="s">
        <v>568</v>
      </c>
      <c r="D383" s="200">
        <f t="shared" si="150"/>
        <v>2.000832</v>
      </c>
      <c r="E383" s="204">
        <f t="shared" si="151"/>
        <v>2.000832</v>
      </c>
      <c r="F383" s="205"/>
      <c r="G383" s="205">
        <v>2.000832</v>
      </c>
      <c r="H383" s="205"/>
      <c r="I383" s="204">
        <f t="shared" si="152"/>
        <v>0</v>
      </c>
      <c r="J383" s="212"/>
      <c r="K383" s="205"/>
      <c r="L383" s="205"/>
      <c r="M383" s="213"/>
      <c r="N383" s="176">
        <f t="shared" si="149"/>
        <v>2.000832</v>
      </c>
    </row>
    <row r="384" ht="26.25" hidden="1" customHeight="1" spans="1:14">
      <c r="A384" s="202"/>
      <c r="B384" s="203"/>
      <c r="C384" s="203" t="s">
        <v>568</v>
      </c>
      <c r="D384" s="200">
        <f t="shared" si="150"/>
        <v>0.339904</v>
      </c>
      <c r="E384" s="204">
        <f t="shared" si="151"/>
        <v>0.339904</v>
      </c>
      <c r="F384" s="205"/>
      <c r="G384" s="205">
        <v>0.339904</v>
      </c>
      <c r="H384" s="205"/>
      <c r="I384" s="204">
        <f t="shared" si="152"/>
        <v>0</v>
      </c>
      <c r="J384" s="212"/>
      <c r="K384" s="205"/>
      <c r="L384" s="205"/>
      <c r="M384" s="213"/>
      <c r="N384" s="176">
        <f t="shared" si="149"/>
        <v>0.339904</v>
      </c>
    </row>
    <row r="385" ht="26.25" hidden="1" customHeight="1" spans="1:14">
      <c r="A385" s="202"/>
      <c r="B385" s="203"/>
      <c r="C385" s="203" t="s">
        <v>568</v>
      </c>
      <c r="D385" s="200">
        <f t="shared" si="150"/>
        <v>1.0426</v>
      </c>
      <c r="E385" s="204">
        <f t="shared" si="151"/>
        <v>1.0426</v>
      </c>
      <c r="F385" s="205"/>
      <c r="G385" s="205">
        <v>1.0426</v>
      </c>
      <c r="H385" s="205"/>
      <c r="I385" s="204">
        <f t="shared" si="152"/>
        <v>0</v>
      </c>
      <c r="J385" s="212"/>
      <c r="K385" s="205"/>
      <c r="L385" s="205"/>
      <c r="M385" s="213"/>
      <c r="N385" s="176">
        <f t="shared" si="149"/>
        <v>1.0426</v>
      </c>
    </row>
    <row r="386" ht="26.25" hidden="1" customHeight="1" spans="1:14">
      <c r="A386" s="202"/>
      <c r="B386" s="203"/>
      <c r="C386" s="203" t="s">
        <v>568</v>
      </c>
      <c r="D386" s="200">
        <f t="shared" si="150"/>
        <v>0.534696</v>
      </c>
      <c r="E386" s="204">
        <f t="shared" si="151"/>
        <v>0.534696</v>
      </c>
      <c r="F386" s="205"/>
      <c r="G386" s="205">
        <v>0.534696</v>
      </c>
      <c r="H386" s="205"/>
      <c r="I386" s="204">
        <f t="shared" si="152"/>
        <v>0</v>
      </c>
      <c r="J386" s="212"/>
      <c r="K386" s="205"/>
      <c r="L386" s="205"/>
      <c r="M386" s="213"/>
      <c r="N386" s="176">
        <f t="shared" si="149"/>
        <v>0.534696</v>
      </c>
    </row>
    <row r="387" ht="26.25" hidden="1" customHeight="1" spans="1:14">
      <c r="A387" s="202"/>
      <c r="B387" s="203"/>
      <c r="C387" s="203" t="s">
        <v>568</v>
      </c>
      <c r="D387" s="200">
        <f t="shared" si="150"/>
        <v>2.478528</v>
      </c>
      <c r="E387" s="204">
        <f t="shared" si="151"/>
        <v>2.478528</v>
      </c>
      <c r="F387" s="205"/>
      <c r="G387" s="205">
        <v>2.478528</v>
      </c>
      <c r="H387" s="205"/>
      <c r="I387" s="204">
        <f t="shared" si="152"/>
        <v>0</v>
      </c>
      <c r="J387" s="212"/>
      <c r="K387" s="205"/>
      <c r="L387" s="205"/>
      <c r="M387" s="213"/>
      <c r="N387" s="176">
        <f t="shared" si="149"/>
        <v>2.478528</v>
      </c>
    </row>
    <row r="388" ht="26.25" hidden="1" customHeight="1" spans="1:14">
      <c r="A388" s="202"/>
      <c r="B388" s="203"/>
      <c r="C388" s="203" t="s">
        <v>569</v>
      </c>
      <c r="D388" s="200">
        <f t="shared" si="150"/>
        <v>6.489638</v>
      </c>
      <c r="E388" s="204">
        <f t="shared" si="151"/>
        <v>6.489638</v>
      </c>
      <c r="F388" s="205"/>
      <c r="G388" s="205">
        <v>6.489638</v>
      </c>
      <c r="H388" s="205"/>
      <c r="I388" s="204">
        <f t="shared" si="152"/>
        <v>0</v>
      </c>
      <c r="J388" s="212"/>
      <c r="K388" s="205"/>
      <c r="L388" s="205"/>
      <c r="M388" s="213"/>
      <c r="N388" s="176">
        <f t="shared" si="149"/>
        <v>6.489638</v>
      </c>
    </row>
    <row r="389" ht="26.25" hidden="1" customHeight="1" spans="1:14">
      <c r="A389" s="202"/>
      <c r="B389" s="203"/>
      <c r="C389" s="203" t="s">
        <v>569</v>
      </c>
      <c r="D389" s="200">
        <f t="shared" si="150"/>
        <v>0.550282</v>
      </c>
      <c r="E389" s="204">
        <f t="shared" si="151"/>
        <v>0.550282</v>
      </c>
      <c r="F389" s="205"/>
      <c r="G389" s="205">
        <v>0.550282</v>
      </c>
      <c r="H389" s="205"/>
      <c r="I389" s="204">
        <f t="shared" si="152"/>
        <v>0</v>
      </c>
      <c r="J389" s="212"/>
      <c r="K389" s="205"/>
      <c r="L389" s="205"/>
      <c r="M389" s="213"/>
      <c r="N389" s="176">
        <f t="shared" si="149"/>
        <v>0.550282</v>
      </c>
    </row>
    <row r="390" ht="26.25" hidden="1" customHeight="1" spans="1:14">
      <c r="A390" s="202"/>
      <c r="B390" s="203"/>
      <c r="C390" s="203" t="s">
        <v>569</v>
      </c>
      <c r="D390" s="200">
        <f t="shared" si="150"/>
        <v>0.659776</v>
      </c>
      <c r="E390" s="204">
        <f t="shared" si="151"/>
        <v>0.659776</v>
      </c>
      <c r="F390" s="205"/>
      <c r="G390" s="205">
        <v>0.659776</v>
      </c>
      <c r="H390" s="205"/>
      <c r="I390" s="204">
        <f t="shared" si="152"/>
        <v>0</v>
      </c>
      <c r="J390" s="212"/>
      <c r="K390" s="205"/>
      <c r="L390" s="205"/>
      <c r="M390" s="213"/>
      <c r="N390" s="176">
        <f t="shared" si="149"/>
        <v>0.659776</v>
      </c>
    </row>
    <row r="391" ht="26.25" hidden="1" customHeight="1" spans="1:14">
      <c r="A391" s="202"/>
      <c r="B391" s="203"/>
      <c r="C391" s="203" t="s">
        <v>569</v>
      </c>
      <c r="D391" s="200">
        <f t="shared" si="150"/>
        <v>0.536232</v>
      </c>
      <c r="E391" s="204">
        <f t="shared" si="151"/>
        <v>0.536232</v>
      </c>
      <c r="F391" s="205"/>
      <c r="G391" s="205">
        <v>0.536232</v>
      </c>
      <c r="H391" s="205"/>
      <c r="I391" s="204">
        <f t="shared" si="152"/>
        <v>0</v>
      </c>
      <c r="J391" s="212"/>
      <c r="K391" s="205"/>
      <c r="L391" s="205"/>
      <c r="M391" s="213"/>
      <c r="N391" s="176">
        <f t="shared" si="149"/>
        <v>0.536232</v>
      </c>
    </row>
    <row r="392" ht="26.25" hidden="1" customHeight="1" spans="1:14">
      <c r="A392" s="202"/>
      <c r="B392" s="203"/>
      <c r="C392" s="203" t="s">
        <v>569</v>
      </c>
      <c r="D392" s="200">
        <f t="shared" si="150"/>
        <v>1.139488</v>
      </c>
      <c r="E392" s="204">
        <f t="shared" si="151"/>
        <v>1.139488</v>
      </c>
      <c r="F392" s="205"/>
      <c r="G392" s="205">
        <v>1.139488</v>
      </c>
      <c r="H392" s="205"/>
      <c r="I392" s="204">
        <f t="shared" si="152"/>
        <v>0</v>
      </c>
      <c r="J392" s="212"/>
      <c r="K392" s="205"/>
      <c r="L392" s="205"/>
      <c r="M392" s="213"/>
      <c r="N392" s="176">
        <f t="shared" si="149"/>
        <v>1.139488</v>
      </c>
    </row>
    <row r="393" ht="26.25" hidden="1" customHeight="1" spans="1:14">
      <c r="A393" s="202"/>
      <c r="B393" s="203"/>
      <c r="C393" s="203" t="s">
        <v>570</v>
      </c>
      <c r="D393" s="200">
        <f t="shared" si="150"/>
        <v>5.801082</v>
      </c>
      <c r="E393" s="204">
        <f t="shared" si="151"/>
        <v>5.801082</v>
      </c>
      <c r="F393" s="205"/>
      <c r="G393" s="205">
        <v>5.801082</v>
      </c>
      <c r="H393" s="205"/>
      <c r="I393" s="204">
        <f t="shared" si="152"/>
        <v>0</v>
      </c>
      <c r="J393" s="212"/>
      <c r="K393" s="205"/>
      <c r="L393" s="205"/>
      <c r="M393" s="213"/>
      <c r="N393" s="176">
        <f t="shared" ref="N393:N456" si="153">J393+E393</f>
        <v>5.801082</v>
      </c>
    </row>
    <row r="394" ht="26.25" hidden="1" customHeight="1" spans="1:14">
      <c r="A394" s="202"/>
      <c r="B394" s="203"/>
      <c r="C394" s="203" t="s">
        <v>570</v>
      </c>
      <c r="D394" s="200">
        <f t="shared" si="150"/>
        <v>0.704676</v>
      </c>
      <c r="E394" s="204">
        <f t="shared" si="151"/>
        <v>0.704676</v>
      </c>
      <c r="F394" s="205"/>
      <c r="G394" s="205">
        <v>0.704676</v>
      </c>
      <c r="H394" s="205"/>
      <c r="I394" s="204">
        <f t="shared" si="152"/>
        <v>0</v>
      </c>
      <c r="J394" s="212"/>
      <c r="K394" s="205"/>
      <c r="L394" s="205"/>
      <c r="M394" s="213"/>
      <c r="N394" s="176">
        <f t="shared" si="153"/>
        <v>0.704676</v>
      </c>
    </row>
    <row r="395" ht="26.25" hidden="1" customHeight="1" spans="1:14">
      <c r="A395" s="202"/>
      <c r="B395" s="203"/>
      <c r="C395" s="203" t="s">
        <v>570</v>
      </c>
      <c r="D395" s="200">
        <f t="shared" si="150"/>
        <v>0.830792</v>
      </c>
      <c r="E395" s="204">
        <f t="shared" si="151"/>
        <v>0.830792</v>
      </c>
      <c r="F395" s="205"/>
      <c r="G395" s="205">
        <v>0.830792</v>
      </c>
      <c r="H395" s="205"/>
      <c r="I395" s="204">
        <f t="shared" si="152"/>
        <v>0</v>
      </c>
      <c r="J395" s="212"/>
      <c r="K395" s="205"/>
      <c r="L395" s="205"/>
      <c r="M395" s="213"/>
      <c r="N395" s="176">
        <f t="shared" si="153"/>
        <v>0.830792</v>
      </c>
    </row>
    <row r="396" ht="26.25" hidden="1" customHeight="1" spans="1:14">
      <c r="A396" s="202"/>
      <c r="B396" s="203"/>
      <c r="C396" s="203" t="s">
        <v>570</v>
      </c>
      <c r="D396" s="200">
        <f t="shared" si="150"/>
        <v>0.346376</v>
      </c>
      <c r="E396" s="204">
        <f t="shared" si="151"/>
        <v>0.346376</v>
      </c>
      <c r="F396" s="205"/>
      <c r="G396" s="205">
        <v>0.346376</v>
      </c>
      <c r="H396" s="205"/>
      <c r="I396" s="204">
        <f t="shared" si="152"/>
        <v>0</v>
      </c>
      <c r="J396" s="212"/>
      <c r="K396" s="205"/>
      <c r="L396" s="205"/>
      <c r="M396" s="213"/>
      <c r="N396" s="176">
        <f t="shared" si="153"/>
        <v>0.346376</v>
      </c>
    </row>
    <row r="397" ht="26.25" hidden="1" customHeight="1" spans="1:14">
      <c r="A397" s="202"/>
      <c r="B397" s="203"/>
      <c r="C397" s="203" t="s">
        <v>570</v>
      </c>
      <c r="D397" s="200">
        <f t="shared" si="150"/>
        <v>0.162568</v>
      </c>
      <c r="E397" s="204">
        <f t="shared" si="151"/>
        <v>0.162568</v>
      </c>
      <c r="F397" s="205"/>
      <c r="G397" s="205">
        <v>0.162568</v>
      </c>
      <c r="H397" s="205"/>
      <c r="I397" s="204">
        <f t="shared" si="152"/>
        <v>0</v>
      </c>
      <c r="J397" s="212"/>
      <c r="K397" s="205"/>
      <c r="L397" s="205"/>
      <c r="M397" s="213"/>
      <c r="N397" s="176">
        <f t="shared" si="153"/>
        <v>0.162568</v>
      </c>
    </row>
    <row r="398" ht="26.25" hidden="1" customHeight="1" spans="1:14">
      <c r="A398" s="202"/>
      <c r="B398" s="203"/>
      <c r="C398" s="203" t="s">
        <v>570</v>
      </c>
      <c r="D398" s="200">
        <f t="shared" si="150"/>
        <v>0.161464</v>
      </c>
      <c r="E398" s="204">
        <f t="shared" si="151"/>
        <v>0.161464</v>
      </c>
      <c r="F398" s="205"/>
      <c r="G398" s="205">
        <v>0.161464</v>
      </c>
      <c r="H398" s="205"/>
      <c r="I398" s="204">
        <f t="shared" si="152"/>
        <v>0</v>
      </c>
      <c r="J398" s="212"/>
      <c r="K398" s="205"/>
      <c r="L398" s="205"/>
      <c r="M398" s="213"/>
      <c r="N398" s="176">
        <f t="shared" si="153"/>
        <v>0.161464</v>
      </c>
    </row>
    <row r="399" ht="26.25" hidden="1" customHeight="1" spans="1:14">
      <c r="A399" s="202"/>
      <c r="B399" s="203"/>
      <c r="C399" s="203" t="s">
        <v>570</v>
      </c>
      <c r="D399" s="200">
        <f t="shared" si="150"/>
        <v>0.371072</v>
      </c>
      <c r="E399" s="204">
        <f t="shared" si="151"/>
        <v>0.371072</v>
      </c>
      <c r="F399" s="205"/>
      <c r="G399" s="205">
        <v>0.371072</v>
      </c>
      <c r="H399" s="205"/>
      <c r="I399" s="204">
        <f t="shared" si="152"/>
        <v>0</v>
      </c>
      <c r="J399" s="212"/>
      <c r="K399" s="205"/>
      <c r="L399" s="205"/>
      <c r="M399" s="213"/>
      <c r="N399" s="176">
        <f t="shared" si="153"/>
        <v>0.371072</v>
      </c>
    </row>
    <row r="400" ht="26.25" hidden="1" customHeight="1" spans="1:14">
      <c r="A400" s="202"/>
      <c r="B400" s="203"/>
      <c r="C400" s="203" t="s">
        <v>570</v>
      </c>
      <c r="D400" s="200">
        <f t="shared" si="150"/>
        <v>1.361408</v>
      </c>
      <c r="E400" s="204">
        <f t="shared" si="151"/>
        <v>1.361408</v>
      </c>
      <c r="F400" s="205"/>
      <c r="G400" s="205">
        <v>1.361408</v>
      </c>
      <c r="H400" s="205"/>
      <c r="I400" s="204">
        <f t="shared" si="152"/>
        <v>0</v>
      </c>
      <c r="J400" s="212"/>
      <c r="K400" s="205"/>
      <c r="L400" s="205"/>
      <c r="M400" s="213"/>
      <c r="N400" s="176">
        <f t="shared" si="153"/>
        <v>1.361408</v>
      </c>
    </row>
    <row r="401" ht="26.25" hidden="1" customHeight="1" spans="1:14">
      <c r="A401" s="202"/>
      <c r="B401" s="203"/>
      <c r="C401" s="203" t="s">
        <v>570</v>
      </c>
      <c r="D401" s="200">
        <f t="shared" si="150"/>
        <v>0.389744</v>
      </c>
      <c r="E401" s="204">
        <f t="shared" si="151"/>
        <v>0.389744</v>
      </c>
      <c r="F401" s="205"/>
      <c r="G401" s="205">
        <v>0.389744</v>
      </c>
      <c r="H401" s="205"/>
      <c r="I401" s="204">
        <f t="shared" si="152"/>
        <v>0</v>
      </c>
      <c r="J401" s="212"/>
      <c r="K401" s="205"/>
      <c r="L401" s="205"/>
      <c r="M401" s="213"/>
      <c r="N401" s="176">
        <f t="shared" si="153"/>
        <v>0.389744</v>
      </c>
    </row>
    <row r="402" ht="26.25" hidden="1" customHeight="1" spans="1:14">
      <c r="A402" s="202"/>
      <c r="B402" s="203"/>
      <c r="C402" s="203" t="s">
        <v>571</v>
      </c>
      <c r="D402" s="200">
        <f t="shared" si="150"/>
        <v>5.327736</v>
      </c>
      <c r="E402" s="204">
        <f t="shared" si="151"/>
        <v>5.327736</v>
      </c>
      <c r="F402" s="205"/>
      <c r="G402" s="205">
        <v>5.327736</v>
      </c>
      <c r="H402" s="205"/>
      <c r="I402" s="204">
        <f t="shared" si="152"/>
        <v>0</v>
      </c>
      <c r="J402" s="212"/>
      <c r="K402" s="205"/>
      <c r="L402" s="205"/>
      <c r="M402" s="213"/>
      <c r="N402" s="176">
        <f t="shared" si="153"/>
        <v>5.327736</v>
      </c>
    </row>
    <row r="403" ht="26.25" hidden="1" customHeight="1" spans="1:14">
      <c r="A403" s="202"/>
      <c r="B403" s="203"/>
      <c r="C403" s="203" t="s">
        <v>571</v>
      </c>
      <c r="D403" s="200">
        <f t="shared" si="150"/>
        <v>0.872024</v>
      </c>
      <c r="E403" s="204">
        <f t="shared" si="151"/>
        <v>0.872024</v>
      </c>
      <c r="F403" s="205"/>
      <c r="G403" s="205">
        <v>0.872024</v>
      </c>
      <c r="H403" s="205"/>
      <c r="I403" s="204">
        <f t="shared" si="152"/>
        <v>0</v>
      </c>
      <c r="J403" s="212"/>
      <c r="K403" s="205"/>
      <c r="L403" s="205"/>
      <c r="M403" s="213"/>
      <c r="N403" s="176">
        <f t="shared" si="153"/>
        <v>0.872024</v>
      </c>
    </row>
    <row r="404" ht="26.25" hidden="1" customHeight="1" spans="1:14">
      <c r="A404" s="202"/>
      <c r="B404" s="203"/>
      <c r="C404" s="203" t="s">
        <v>571</v>
      </c>
      <c r="D404" s="200">
        <f t="shared" si="150"/>
        <v>0.801176</v>
      </c>
      <c r="E404" s="204">
        <f t="shared" si="151"/>
        <v>0.801176</v>
      </c>
      <c r="F404" s="205"/>
      <c r="G404" s="205">
        <v>0.801176</v>
      </c>
      <c r="H404" s="205"/>
      <c r="I404" s="204">
        <f t="shared" si="152"/>
        <v>0</v>
      </c>
      <c r="J404" s="212"/>
      <c r="K404" s="205"/>
      <c r="L404" s="205"/>
      <c r="M404" s="213"/>
      <c r="N404" s="176">
        <f t="shared" si="153"/>
        <v>0.801176</v>
      </c>
    </row>
    <row r="405" ht="26.25" hidden="1" customHeight="1" spans="1:14">
      <c r="A405" s="202"/>
      <c r="B405" s="203"/>
      <c r="C405" s="203" t="s">
        <v>571</v>
      </c>
      <c r="D405" s="200">
        <f t="shared" si="150"/>
        <v>0.316928</v>
      </c>
      <c r="E405" s="204">
        <f t="shared" si="151"/>
        <v>0.316928</v>
      </c>
      <c r="F405" s="205"/>
      <c r="G405" s="205">
        <v>0.316928</v>
      </c>
      <c r="H405" s="205"/>
      <c r="I405" s="204">
        <f t="shared" si="152"/>
        <v>0</v>
      </c>
      <c r="J405" s="212"/>
      <c r="K405" s="205"/>
      <c r="L405" s="205"/>
      <c r="M405" s="213"/>
      <c r="N405" s="176">
        <f t="shared" si="153"/>
        <v>0.316928</v>
      </c>
    </row>
    <row r="406" ht="26.25" hidden="1" customHeight="1" spans="1:14">
      <c r="A406" s="202"/>
      <c r="B406" s="203"/>
      <c r="C406" s="203" t="s">
        <v>571</v>
      </c>
      <c r="D406" s="200">
        <f t="shared" ref="D406:D435" si="154">E406+I406</f>
        <v>0.350312</v>
      </c>
      <c r="E406" s="204">
        <f t="shared" ref="E406:E435" si="155">SUM(F406:H406)</f>
        <v>0.350312</v>
      </c>
      <c r="F406" s="205"/>
      <c r="G406" s="205">
        <v>0.350312</v>
      </c>
      <c r="H406" s="205"/>
      <c r="I406" s="204">
        <f t="shared" ref="I406:I435" si="156">SUM(J406:L406)</f>
        <v>0</v>
      </c>
      <c r="J406" s="212"/>
      <c r="K406" s="205"/>
      <c r="L406" s="205"/>
      <c r="M406" s="213"/>
      <c r="N406" s="176">
        <f t="shared" si="153"/>
        <v>0.350312</v>
      </c>
    </row>
    <row r="407" ht="26.25" hidden="1" customHeight="1" spans="1:14">
      <c r="A407" s="202"/>
      <c r="B407" s="203"/>
      <c r="C407" s="203" t="s">
        <v>571</v>
      </c>
      <c r="D407" s="200">
        <f t="shared" si="154"/>
        <v>0.16516</v>
      </c>
      <c r="E407" s="204">
        <f t="shared" si="155"/>
        <v>0.16516</v>
      </c>
      <c r="F407" s="205"/>
      <c r="G407" s="205">
        <v>0.16516</v>
      </c>
      <c r="H407" s="205"/>
      <c r="I407" s="204">
        <f t="shared" si="156"/>
        <v>0</v>
      </c>
      <c r="J407" s="212"/>
      <c r="K407" s="205"/>
      <c r="L407" s="205"/>
      <c r="M407" s="213"/>
      <c r="N407" s="176">
        <f t="shared" si="153"/>
        <v>0.16516</v>
      </c>
    </row>
    <row r="408" ht="26.25" hidden="1" customHeight="1" spans="1:14">
      <c r="A408" s="202"/>
      <c r="B408" s="203"/>
      <c r="C408" s="203" t="s">
        <v>571</v>
      </c>
      <c r="D408" s="200">
        <f t="shared" si="154"/>
        <v>0.726328</v>
      </c>
      <c r="E408" s="204">
        <f t="shared" si="155"/>
        <v>0.726328</v>
      </c>
      <c r="F408" s="205"/>
      <c r="G408" s="205">
        <v>0.726328</v>
      </c>
      <c r="H408" s="205"/>
      <c r="I408" s="204">
        <f t="shared" si="156"/>
        <v>0</v>
      </c>
      <c r="J408" s="212"/>
      <c r="K408" s="205"/>
      <c r="L408" s="205"/>
      <c r="M408" s="213"/>
      <c r="N408" s="176">
        <f t="shared" si="153"/>
        <v>0.726328</v>
      </c>
    </row>
    <row r="409" ht="26.25" hidden="1" customHeight="1" spans="1:14">
      <c r="A409" s="202"/>
      <c r="B409" s="203"/>
      <c r="C409" s="203" t="s">
        <v>571</v>
      </c>
      <c r="D409" s="200">
        <f t="shared" si="154"/>
        <v>0.421928</v>
      </c>
      <c r="E409" s="204">
        <f t="shared" si="155"/>
        <v>0.421928</v>
      </c>
      <c r="F409" s="205"/>
      <c r="G409" s="205">
        <v>0.421928</v>
      </c>
      <c r="H409" s="205"/>
      <c r="I409" s="204">
        <f t="shared" si="156"/>
        <v>0</v>
      </c>
      <c r="J409" s="212"/>
      <c r="K409" s="205"/>
      <c r="L409" s="205"/>
      <c r="M409" s="213"/>
      <c r="N409" s="176">
        <f t="shared" si="153"/>
        <v>0.421928</v>
      </c>
    </row>
    <row r="410" ht="26.25" hidden="1" customHeight="1" spans="1:14">
      <c r="A410" s="202"/>
      <c r="B410" s="203"/>
      <c r="C410" s="203" t="s">
        <v>572</v>
      </c>
      <c r="D410" s="200">
        <f t="shared" si="154"/>
        <v>7.298154</v>
      </c>
      <c r="E410" s="204">
        <f t="shared" si="155"/>
        <v>7.298154</v>
      </c>
      <c r="F410" s="205"/>
      <c r="G410" s="205">
        <v>7.298154</v>
      </c>
      <c r="H410" s="205"/>
      <c r="I410" s="204">
        <f t="shared" si="156"/>
        <v>0</v>
      </c>
      <c r="J410" s="212"/>
      <c r="K410" s="205"/>
      <c r="L410" s="205"/>
      <c r="M410" s="213"/>
      <c r="N410" s="176">
        <f t="shared" si="153"/>
        <v>7.298154</v>
      </c>
    </row>
    <row r="411" ht="26.25" hidden="1" customHeight="1" spans="1:14">
      <c r="A411" s="202"/>
      <c r="B411" s="203"/>
      <c r="C411" s="203" t="s">
        <v>572</v>
      </c>
      <c r="D411" s="200">
        <f t="shared" si="154"/>
        <v>0.83817</v>
      </c>
      <c r="E411" s="204">
        <f t="shared" si="155"/>
        <v>0.83817</v>
      </c>
      <c r="F411" s="205"/>
      <c r="G411" s="205">
        <v>0.83817</v>
      </c>
      <c r="H411" s="205"/>
      <c r="I411" s="204">
        <f t="shared" si="156"/>
        <v>0</v>
      </c>
      <c r="J411" s="212"/>
      <c r="K411" s="205"/>
      <c r="L411" s="205"/>
      <c r="M411" s="213"/>
      <c r="N411" s="176">
        <f t="shared" si="153"/>
        <v>0.83817</v>
      </c>
    </row>
    <row r="412" ht="26.25" hidden="1" customHeight="1" spans="1:14">
      <c r="A412" s="202"/>
      <c r="B412" s="203"/>
      <c r="C412" s="203" t="s">
        <v>572</v>
      </c>
      <c r="D412" s="200">
        <f t="shared" si="154"/>
        <v>1.8812</v>
      </c>
      <c r="E412" s="204">
        <f t="shared" si="155"/>
        <v>1.8812</v>
      </c>
      <c r="F412" s="205"/>
      <c r="G412" s="205">
        <v>1.8812</v>
      </c>
      <c r="H412" s="205"/>
      <c r="I412" s="204">
        <f t="shared" si="156"/>
        <v>0</v>
      </c>
      <c r="J412" s="212"/>
      <c r="K412" s="205"/>
      <c r="L412" s="205"/>
      <c r="M412" s="213"/>
      <c r="N412" s="176">
        <f t="shared" si="153"/>
        <v>1.8812</v>
      </c>
    </row>
    <row r="413" ht="26.25" hidden="1" customHeight="1" spans="1:14">
      <c r="A413" s="202"/>
      <c r="B413" s="203"/>
      <c r="C413" s="203" t="s">
        <v>572</v>
      </c>
      <c r="D413" s="200">
        <f t="shared" si="154"/>
        <v>0.373304</v>
      </c>
      <c r="E413" s="204">
        <f t="shared" si="155"/>
        <v>0.373304</v>
      </c>
      <c r="F413" s="205"/>
      <c r="G413" s="205">
        <v>0.373304</v>
      </c>
      <c r="H413" s="205"/>
      <c r="I413" s="204">
        <f t="shared" si="156"/>
        <v>0</v>
      </c>
      <c r="J413" s="212"/>
      <c r="K413" s="205"/>
      <c r="L413" s="205"/>
      <c r="M413" s="213"/>
      <c r="N413" s="176">
        <f t="shared" si="153"/>
        <v>0.373304</v>
      </c>
    </row>
    <row r="414" ht="26.25" hidden="1" customHeight="1" spans="1:14">
      <c r="A414" s="202"/>
      <c r="B414" s="203"/>
      <c r="C414" s="203" t="s">
        <v>572</v>
      </c>
      <c r="D414" s="200">
        <f t="shared" si="154"/>
        <v>0.322928</v>
      </c>
      <c r="E414" s="204">
        <f t="shared" si="155"/>
        <v>0.322928</v>
      </c>
      <c r="F414" s="205"/>
      <c r="G414" s="205">
        <v>0.322928</v>
      </c>
      <c r="H414" s="205"/>
      <c r="I414" s="204">
        <f t="shared" si="156"/>
        <v>0</v>
      </c>
      <c r="J414" s="212"/>
      <c r="K414" s="205"/>
      <c r="L414" s="205"/>
      <c r="M414" s="213"/>
      <c r="N414" s="176">
        <f t="shared" si="153"/>
        <v>0.322928</v>
      </c>
    </row>
    <row r="415" ht="26.25" hidden="1" customHeight="1" spans="1:14">
      <c r="A415" s="202"/>
      <c r="B415" s="203"/>
      <c r="C415" s="203" t="s">
        <v>572</v>
      </c>
      <c r="D415" s="200">
        <f t="shared" si="154"/>
        <v>0.535752</v>
      </c>
      <c r="E415" s="204">
        <f t="shared" si="155"/>
        <v>0.535752</v>
      </c>
      <c r="F415" s="205"/>
      <c r="G415" s="205">
        <v>0.535752</v>
      </c>
      <c r="H415" s="205"/>
      <c r="I415" s="204">
        <f t="shared" si="156"/>
        <v>0</v>
      </c>
      <c r="J415" s="212"/>
      <c r="K415" s="205"/>
      <c r="L415" s="205"/>
      <c r="M415" s="213"/>
      <c r="N415" s="176">
        <f t="shared" si="153"/>
        <v>0.535752</v>
      </c>
    </row>
    <row r="416" ht="26.25" hidden="1" customHeight="1" spans="1:14">
      <c r="A416" s="202"/>
      <c r="B416" s="203"/>
      <c r="C416" s="203" t="s">
        <v>572</v>
      </c>
      <c r="D416" s="200">
        <f t="shared" si="154"/>
        <v>0.3818</v>
      </c>
      <c r="E416" s="204">
        <f t="shared" si="155"/>
        <v>0.3818</v>
      </c>
      <c r="F416" s="205"/>
      <c r="G416" s="205">
        <v>0.3818</v>
      </c>
      <c r="H416" s="205"/>
      <c r="I416" s="204">
        <f t="shared" si="156"/>
        <v>0</v>
      </c>
      <c r="J416" s="212"/>
      <c r="K416" s="205"/>
      <c r="L416" s="205"/>
      <c r="M416" s="213"/>
      <c r="N416" s="176">
        <f t="shared" si="153"/>
        <v>0.3818</v>
      </c>
    </row>
    <row r="417" ht="26.25" hidden="1" customHeight="1" spans="1:14">
      <c r="A417" s="202"/>
      <c r="B417" s="203"/>
      <c r="C417" s="203" t="s">
        <v>572</v>
      </c>
      <c r="D417" s="200">
        <f t="shared" si="154"/>
        <v>1.952544</v>
      </c>
      <c r="E417" s="204">
        <f t="shared" si="155"/>
        <v>1.952544</v>
      </c>
      <c r="F417" s="205"/>
      <c r="G417" s="205">
        <v>1.952544</v>
      </c>
      <c r="H417" s="205"/>
      <c r="I417" s="204">
        <f t="shared" si="156"/>
        <v>0</v>
      </c>
      <c r="J417" s="212"/>
      <c r="K417" s="205"/>
      <c r="L417" s="205"/>
      <c r="M417" s="213"/>
      <c r="N417" s="176">
        <f t="shared" si="153"/>
        <v>1.952544</v>
      </c>
    </row>
    <row r="418" ht="26.25" hidden="1" customHeight="1" spans="1:14">
      <c r="A418" s="202"/>
      <c r="B418" s="203"/>
      <c r="C418" s="203" t="s">
        <v>573</v>
      </c>
      <c r="D418" s="200">
        <f t="shared" si="154"/>
        <v>8.329854</v>
      </c>
      <c r="E418" s="204">
        <f t="shared" si="155"/>
        <v>8.329854</v>
      </c>
      <c r="F418" s="205"/>
      <c r="G418" s="205">
        <v>8.329854</v>
      </c>
      <c r="H418" s="205"/>
      <c r="I418" s="204">
        <f t="shared" si="156"/>
        <v>0</v>
      </c>
      <c r="J418" s="212"/>
      <c r="K418" s="205"/>
      <c r="L418" s="205"/>
      <c r="M418" s="213"/>
      <c r="N418" s="176">
        <f t="shared" si="153"/>
        <v>8.329854</v>
      </c>
    </row>
    <row r="419" ht="26.25" hidden="1" customHeight="1" spans="1:14">
      <c r="A419" s="202"/>
      <c r="B419" s="203"/>
      <c r="C419" s="203" t="s">
        <v>573</v>
      </c>
      <c r="D419" s="200">
        <f t="shared" si="154"/>
        <v>0.16662</v>
      </c>
      <c r="E419" s="204">
        <f t="shared" si="155"/>
        <v>0.16662</v>
      </c>
      <c r="F419" s="205"/>
      <c r="G419" s="205">
        <v>0.16662</v>
      </c>
      <c r="H419" s="205"/>
      <c r="I419" s="204">
        <f t="shared" si="156"/>
        <v>0</v>
      </c>
      <c r="J419" s="212"/>
      <c r="K419" s="205"/>
      <c r="L419" s="205"/>
      <c r="M419" s="213"/>
      <c r="N419" s="176">
        <f t="shared" si="153"/>
        <v>0.16662</v>
      </c>
    </row>
    <row r="420" ht="26.25" hidden="1" customHeight="1" spans="1:14">
      <c r="A420" s="202"/>
      <c r="B420" s="203"/>
      <c r="C420" s="203" t="s">
        <v>573</v>
      </c>
      <c r="D420" s="200">
        <f t="shared" si="154"/>
        <v>0.863248</v>
      </c>
      <c r="E420" s="204">
        <f t="shared" si="155"/>
        <v>0.863248</v>
      </c>
      <c r="F420" s="205"/>
      <c r="G420" s="205">
        <v>0.863248</v>
      </c>
      <c r="H420" s="205"/>
      <c r="I420" s="204">
        <f t="shared" si="156"/>
        <v>0</v>
      </c>
      <c r="J420" s="212"/>
      <c r="K420" s="205"/>
      <c r="L420" s="205"/>
      <c r="M420" s="213"/>
      <c r="N420" s="176">
        <f t="shared" si="153"/>
        <v>0.863248</v>
      </c>
    </row>
    <row r="421" ht="26.25" hidden="1" customHeight="1" spans="1:14">
      <c r="A421" s="202"/>
      <c r="B421" s="203"/>
      <c r="C421" s="203" t="s">
        <v>573</v>
      </c>
      <c r="D421" s="200">
        <f t="shared" si="154"/>
        <v>0.154616</v>
      </c>
      <c r="E421" s="204">
        <f t="shared" si="155"/>
        <v>0.154616</v>
      </c>
      <c r="F421" s="205"/>
      <c r="G421" s="205">
        <v>0.154616</v>
      </c>
      <c r="H421" s="205"/>
      <c r="I421" s="204">
        <f t="shared" si="156"/>
        <v>0</v>
      </c>
      <c r="J421" s="212"/>
      <c r="K421" s="205"/>
      <c r="L421" s="205"/>
      <c r="M421" s="213"/>
      <c r="N421" s="176">
        <f t="shared" si="153"/>
        <v>0.154616</v>
      </c>
    </row>
    <row r="422" ht="26.25" hidden="1" customHeight="1" spans="1:14">
      <c r="A422" s="202"/>
      <c r="B422" s="203"/>
      <c r="C422" s="203" t="s">
        <v>573</v>
      </c>
      <c r="D422" s="200">
        <f t="shared" si="154"/>
        <v>0.181928</v>
      </c>
      <c r="E422" s="204">
        <f t="shared" si="155"/>
        <v>0.181928</v>
      </c>
      <c r="F422" s="205"/>
      <c r="G422" s="205">
        <v>0.181928</v>
      </c>
      <c r="H422" s="205"/>
      <c r="I422" s="204">
        <f t="shared" si="156"/>
        <v>0</v>
      </c>
      <c r="J422" s="212"/>
      <c r="K422" s="205"/>
      <c r="L422" s="205"/>
      <c r="M422" s="213"/>
      <c r="N422" s="176">
        <f t="shared" si="153"/>
        <v>0.181928</v>
      </c>
    </row>
    <row r="423" ht="26.25" hidden="1" customHeight="1" spans="1:14">
      <c r="A423" s="202"/>
      <c r="B423" s="203"/>
      <c r="C423" s="203" t="s">
        <v>573</v>
      </c>
      <c r="D423" s="200">
        <f t="shared" si="154"/>
        <v>1.316512</v>
      </c>
      <c r="E423" s="204">
        <f t="shared" si="155"/>
        <v>1.316512</v>
      </c>
      <c r="F423" s="205"/>
      <c r="G423" s="205">
        <v>1.316512</v>
      </c>
      <c r="H423" s="205"/>
      <c r="I423" s="204">
        <f t="shared" si="156"/>
        <v>0</v>
      </c>
      <c r="J423" s="212"/>
      <c r="K423" s="205"/>
      <c r="L423" s="205"/>
      <c r="M423" s="213"/>
      <c r="N423" s="176">
        <f t="shared" si="153"/>
        <v>1.316512</v>
      </c>
    </row>
    <row r="424" ht="26.25" hidden="1" customHeight="1" spans="1:14">
      <c r="A424" s="202"/>
      <c r="B424" s="203"/>
      <c r="C424" s="203" t="s">
        <v>574</v>
      </c>
      <c r="D424" s="200">
        <f t="shared" si="154"/>
        <v>7.634982</v>
      </c>
      <c r="E424" s="204">
        <f t="shared" si="155"/>
        <v>7.634982</v>
      </c>
      <c r="F424" s="205"/>
      <c r="G424" s="205">
        <v>7.634982</v>
      </c>
      <c r="H424" s="205"/>
      <c r="I424" s="204">
        <f t="shared" si="156"/>
        <v>0</v>
      </c>
      <c r="J424" s="212"/>
      <c r="K424" s="205"/>
      <c r="L424" s="205"/>
      <c r="M424" s="213"/>
      <c r="N424" s="176">
        <f t="shared" si="153"/>
        <v>7.634982</v>
      </c>
    </row>
    <row r="425" ht="26.25" hidden="1" customHeight="1" spans="1:14">
      <c r="A425" s="202"/>
      <c r="B425" s="203"/>
      <c r="C425" s="203" t="s">
        <v>574</v>
      </c>
      <c r="D425" s="200">
        <f t="shared" si="154"/>
        <v>0.714608</v>
      </c>
      <c r="E425" s="204">
        <f t="shared" si="155"/>
        <v>0.714608</v>
      </c>
      <c r="F425" s="205"/>
      <c r="G425" s="205">
        <v>0.714608</v>
      </c>
      <c r="H425" s="205"/>
      <c r="I425" s="204">
        <f t="shared" si="156"/>
        <v>0</v>
      </c>
      <c r="J425" s="212"/>
      <c r="K425" s="205"/>
      <c r="L425" s="205"/>
      <c r="M425" s="213"/>
      <c r="N425" s="176">
        <f t="shared" si="153"/>
        <v>0.714608</v>
      </c>
    </row>
    <row r="426" ht="26.25" hidden="1" customHeight="1" spans="1:14">
      <c r="A426" s="202"/>
      <c r="B426" s="203"/>
      <c r="C426" s="203" t="s">
        <v>574</v>
      </c>
      <c r="D426" s="200">
        <f t="shared" si="154"/>
        <v>0.807536</v>
      </c>
      <c r="E426" s="204">
        <f t="shared" si="155"/>
        <v>0.807536</v>
      </c>
      <c r="F426" s="205"/>
      <c r="G426" s="205">
        <v>0.807536</v>
      </c>
      <c r="H426" s="205"/>
      <c r="I426" s="204">
        <f t="shared" si="156"/>
        <v>0</v>
      </c>
      <c r="J426" s="212"/>
      <c r="K426" s="205"/>
      <c r="L426" s="205"/>
      <c r="M426" s="213"/>
      <c r="N426" s="176">
        <f t="shared" si="153"/>
        <v>0.807536</v>
      </c>
    </row>
    <row r="427" ht="26.25" hidden="1" customHeight="1" spans="1:14">
      <c r="A427" s="202"/>
      <c r="B427" s="203"/>
      <c r="C427" s="203" t="s">
        <v>574</v>
      </c>
      <c r="D427" s="200">
        <f t="shared" si="154"/>
        <v>1.273688</v>
      </c>
      <c r="E427" s="204">
        <f t="shared" si="155"/>
        <v>1.273688</v>
      </c>
      <c r="F427" s="205"/>
      <c r="G427" s="205">
        <v>1.273688</v>
      </c>
      <c r="H427" s="205"/>
      <c r="I427" s="204">
        <f t="shared" si="156"/>
        <v>0</v>
      </c>
      <c r="J427" s="212"/>
      <c r="K427" s="205"/>
      <c r="L427" s="205"/>
      <c r="M427" s="213"/>
      <c r="N427" s="176">
        <f t="shared" si="153"/>
        <v>1.273688</v>
      </c>
    </row>
    <row r="428" ht="26.25" hidden="1" customHeight="1" spans="1:14">
      <c r="A428" s="202"/>
      <c r="B428" s="203"/>
      <c r="C428" s="203" t="s">
        <v>575</v>
      </c>
      <c r="D428" s="200">
        <f t="shared" si="154"/>
        <v>7.865016</v>
      </c>
      <c r="E428" s="204">
        <f t="shared" si="155"/>
        <v>7.865016</v>
      </c>
      <c r="F428" s="205"/>
      <c r="G428" s="205">
        <v>7.865016</v>
      </c>
      <c r="H428" s="205"/>
      <c r="I428" s="204">
        <f t="shared" si="156"/>
        <v>0</v>
      </c>
      <c r="J428" s="212"/>
      <c r="K428" s="205"/>
      <c r="L428" s="205"/>
      <c r="M428" s="213"/>
      <c r="N428" s="176">
        <f t="shared" si="153"/>
        <v>7.865016</v>
      </c>
    </row>
    <row r="429" ht="26.25" hidden="1" customHeight="1" spans="1:14">
      <c r="A429" s="202"/>
      <c r="B429" s="203"/>
      <c r="C429" s="203" t="s">
        <v>575</v>
      </c>
      <c r="D429" s="200">
        <f t="shared" si="154"/>
        <v>1.148402</v>
      </c>
      <c r="E429" s="204">
        <f t="shared" si="155"/>
        <v>1.148402</v>
      </c>
      <c r="F429" s="205"/>
      <c r="G429" s="205">
        <v>1.148402</v>
      </c>
      <c r="H429" s="205"/>
      <c r="I429" s="204">
        <f t="shared" si="156"/>
        <v>0</v>
      </c>
      <c r="J429" s="212"/>
      <c r="K429" s="205"/>
      <c r="L429" s="205"/>
      <c r="M429" s="213"/>
      <c r="N429" s="176">
        <f t="shared" si="153"/>
        <v>1.148402</v>
      </c>
    </row>
    <row r="430" ht="26.25" hidden="1" customHeight="1" spans="1:14">
      <c r="A430" s="202"/>
      <c r="B430" s="203"/>
      <c r="C430" s="203" t="s">
        <v>575</v>
      </c>
      <c r="D430" s="200">
        <f t="shared" si="154"/>
        <v>2.339144</v>
      </c>
      <c r="E430" s="204">
        <f t="shared" si="155"/>
        <v>2.339144</v>
      </c>
      <c r="F430" s="205"/>
      <c r="G430" s="205">
        <v>2.339144</v>
      </c>
      <c r="H430" s="205"/>
      <c r="I430" s="204">
        <f t="shared" si="156"/>
        <v>0</v>
      </c>
      <c r="J430" s="212"/>
      <c r="K430" s="205"/>
      <c r="L430" s="205"/>
      <c r="M430" s="213"/>
      <c r="N430" s="176">
        <f t="shared" si="153"/>
        <v>2.339144</v>
      </c>
    </row>
    <row r="431" ht="26.25" hidden="1" customHeight="1" spans="1:14">
      <c r="A431" s="202"/>
      <c r="B431" s="203"/>
      <c r="C431" s="203" t="s">
        <v>575</v>
      </c>
      <c r="D431" s="200">
        <f t="shared" si="154"/>
        <v>0.479424</v>
      </c>
      <c r="E431" s="204">
        <f t="shared" si="155"/>
        <v>0.479424</v>
      </c>
      <c r="F431" s="205"/>
      <c r="G431" s="205">
        <v>0.479424</v>
      </c>
      <c r="H431" s="205"/>
      <c r="I431" s="204">
        <f t="shared" si="156"/>
        <v>0</v>
      </c>
      <c r="J431" s="212"/>
      <c r="K431" s="205"/>
      <c r="L431" s="205"/>
      <c r="M431" s="213"/>
      <c r="N431" s="176">
        <f t="shared" si="153"/>
        <v>0.479424</v>
      </c>
    </row>
    <row r="432" ht="26.25" hidden="1" customHeight="1" spans="1:14">
      <c r="A432" s="202"/>
      <c r="B432" s="203"/>
      <c r="C432" s="203" t="s">
        <v>575</v>
      </c>
      <c r="D432" s="200">
        <f t="shared" si="154"/>
        <v>0.679288</v>
      </c>
      <c r="E432" s="204">
        <f t="shared" si="155"/>
        <v>0.679288</v>
      </c>
      <c r="F432" s="205"/>
      <c r="G432" s="205">
        <v>0.679288</v>
      </c>
      <c r="H432" s="205"/>
      <c r="I432" s="204">
        <f t="shared" si="156"/>
        <v>0</v>
      </c>
      <c r="J432" s="212"/>
      <c r="K432" s="205"/>
      <c r="L432" s="205"/>
      <c r="M432" s="213"/>
      <c r="N432" s="176">
        <f t="shared" si="153"/>
        <v>0.679288</v>
      </c>
    </row>
    <row r="433" ht="26.25" hidden="1" customHeight="1" spans="1:14">
      <c r="A433" s="202"/>
      <c r="B433" s="203"/>
      <c r="C433" s="203" t="s">
        <v>575</v>
      </c>
      <c r="D433" s="200">
        <f t="shared" si="154"/>
        <v>0.35048</v>
      </c>
      <c r="E433" s="204">
        <f t="shared" si="155"/>
        <v>0.35048</v>
      </c>
      <c r="F433" s="205"/>
      <c r="G433" s="205">
        <v>0.35048</v>
      </c>
      <c r="H433" s="205"/>
      <c r="I433" s="204">
        <f t="shared" si="156"/>
        <v>0</v>
      </c>
      <c r="J433" s="212"/>
      <c r="K433" s="205"/>
      <c r="L433" s="205"/>
      <c r="M433" s="213"/>
      <c r="N433" s="176">
        <f t="shared" si="153"/>
        <v>0.35048</v>
      </c>
    </row>
    <row r="434" ht="26.25" hidden="1" customHeight="1" spans="1:14">
      <c r="A434" s="202"/>
      <c r="B434" s="203"/>
      <c r="C434" s="203" t="s">
        <v>575</v>
      </c>
      <c r="D434" s="200">
        <f t="shared" si="154"/>
        <v>2.212552</v>
      </c>
      <c r="E434" s="204">
        <f t="shared" si="155"/>
        <v>2.212552</v>
      </c>
      <c r="F434" s="205"/>
      <c r="G434" s="205">
        <v>2.212552</v>
      </c>
      <c r="H434" s="205"/>
      <c r="I434" s="204">
        <f t="shared" si="156"/>
        <v>0</v>
      </c>
      <c r="J434" s="212"/>
      <c r="K434" s="205"/>
      <c r="L434" s="205"/>
      <c r="M434" s="213"/>
      <c r="N434" s="176">
        <f t="shared" si="153"/>
        <v>2.212552</v>
      </c>
    </row>
    <row r="435" ht="26.25" hidden="1" customHeight="1" spans="1:14">
      <c r="A435" s="202"/>
      <c r="B435" s="203"/>
      <c r="C435" s="203" t="s">
        <v>375</v>
      </c>
      <c r="D435" s="200">
        <f t="shared" si="154"/>
        <v>3.846318</v>
      </c>
      <c r="E435" s="204">
        <f t="shared" si="155"/>
        <v>3.846318</v>
      </c>
      <c r="F435" s="205"/>
      <c r="G435" s="205">
        <v>3.846318</v>
      </c>
      <c r="H435" s="205"/>
      <c r="I435" s="204">
        <f t="shared" si="156"/>
        <v>0</v>
      </c>
      <c r="J435" s="212"/>
      <c r="K435" s="205"/>
      <c r="L435" s="205"/>
      <c r="M435" s="213"/>
      <c r="N435" s="176">
        <f t="shared" si="153"/>
        <v>3.846318</v>
      </c>
    </row>
    <row r="436" ht="26.25" customHeight="1" spans="1:14">
      <c r="A436" s="198" t="s">
        <v>576</v>
      </c>
      <c r="B436" s="199" t="s">
        <v>577</v>
      </c>
      <c r="C436" s="199"/>
      <c r="D436" s="200">
        <f t="shared" ref="D436:L436" si="157">D437</f>
        <v>407.475123</v>
      </c>
      <c r="E436" s="200">
        <f t="shared" si="157"/>
        <v>278.095123</v>
      </c>
      <c r="F436" s="200">
        <f t="shared" si="157"/>
        <v>237.593823</v>
      </c>
      <c r="G436" s="200">
        <f t="shared" si="157"/>
        <v>33.162</v>
      </c>
      <c r="H436" s="200">
        <f t="shared" si="157"/>
        <v>7.3393</v>
      </c>
      <c r="I436" s="200">
        <f t="shared" si="157"/>
        <v>129.38</v>
      </c>
      <c r="J436" s="200">
        <f t="shared" si="157"/>
        <v>129.38</v>
      </c>
      <c r="K436" s="200">
        <f t="shared" si="157"/>
        <v>0</v>
      </c>
      <c r="L436" s="200">
        <f t="shared" si="157"/>
        <v>0</v>
      </c>
      <c r="M436" s="211"/>
      <c r="N436" s="176">
        <f t="shared" si="153"/>
        <v>407.475123</v>
      </c>
    </row>
    <row r="437" ht="26.25" customHeight="1" spans="1:14">
      <c r="A437" s="198" t="s">
        <v>578</v>
      </c>
      <c r="B437" s="199" t="s">
        <v>295</v>
      </c>
      <c r="C437" s="199"/>
      <c r="D437" s="200">
        <f t="shared" ref="D437:L437" si="158">SUM(D438:D439)</f>
        <v>407.475123</v>
      </c>
      <c r="E437" s="200">
        <f t="shared" si="158"/>
        <v>278.095123</v>
      </c>
      <c r="F437" s="200">
        <f t="shared" si="158"/>
        <v>237.593823</v>
      </c>
      <c r="G437" s="200">
        <f t="shared" si="158"/>
        <v>33.162</v>
      </c>
      <c r="H437" s="200">
        <f t="shared" si="158"/>
        <v>7.3393</v>
      </c>
      <c r="I437" s="200">
        <f t="shared" si="158"/>
        <v>129.38</v>
      </c>
      <c r="J437" s="200">
        <f t="shared" si="158"/>
        <v>129.38</v>
      </c>
      <c r="K437" s="200">
        <f t="shared" si="158"/>
        <v>0</v>
      </c>
      <c r="L437" s="200">
        <f t="shared" si="158"/>
        <v>0</v>
      </c>
      <c r="M437" s="211"/>
      <c r="N437" s="176">
        <f t="shared" si="153"/>
        <v>407.475123</v>
      </c>
    </row>
    <row r="438" ht="159" customHeight="1" spans="1:14">
      <c r="A438" s="202"/>
      <c r="B438" s="203"/>
      <c r="C438" s="203" t="s">
        <v>509</v>
      </c>
      <c r="D438" s="200">
        <f t="shared" ref="D438:D442" si="159">E438+I438</f>
        <v>407.425123</v>
      </c>
      <c r="E438" s="204">
        <f t="shared" ref="E438:E442" si="160">SUM(F438:H438)</f>
        <v>278.095123</v>
      </c>
      <c r="F438" s="205">
        <f>236.693823+0.9</f>
        <v>237.593823</v>
      </c>
      <c r="G438" s="205">
        <v>33.162</v>
      </c>
      <c r="H438" s="205">
        <v>7.3393</v>
      </c>
      <c r="I438" s="204">
        <f t="shared" ref="I438:I442" si="161">SUM(J438:L438)</f>
        <v>129.33</v>
      </c>
      <c r="J438" s="212">
        <v>129.33</v>
      </c>
      <c r="K438" s="205"/>
      <c r="L438" s="205"/>
      <c r="M438" s="213" t="s">
        <v>579</v>
      </c>
      <c r="N438" s="176">
        <f t="shared" si="153"/>
        <v>407.425123</v>
      </c>
    </row>
    <row r="439" ht="24" customHeight="1" spans="1:14">
      <c r="A439" s="202"/>
      <c r="B439" s="203"/>
      <c r="C439" s="203" t="s">
        <v>347</v>
      </c>
      <c r="D439" s="200">
        <f t="shared" si="159"/>
        <v>0.05</v>
      </c>
      <c r="E439" s="204">
        <f t="shared" si="160"/>
        <v>0</v>
      </c>
      <c r="F439" s="205"/>
      <c r="G439" s="205"/>
      <c r="H439" s="205"/>
      <c r="I439" s="204">
        <f t="shared" si="161"/>
        <v>0.05</v>
      </c>
      <c r="J439" s="212">
        <v>0.05</v>
      </c>
      <c r="K439" s="205"/>
      <c r="L439" s="205"/>
      <c r="M439" s="213" t="s">
        <v>580</v>
      </c>
      <c r="N439" s="176">
        <f t="shared" si="153"/>
        <v>0.05</v>
      </c>
    </row>
    <row r="440" ht="24" customHeight="1" spans="1:14">
      <c r="A440" s="198" t="s">
        <v>581</v>
      </c>
      <c r="B440" s="199" t="s">
        <v>582</v>
      </c>
      <c r="C440" s="199"/>
      <c r="D440" s="200">
        <f t="shared" ref="D440:L440" si="162">D441+D443+D445+D448+D450</f>
        <v>1228.969203</v>
      </c>
      <c r="E440" s="200">
        <f t="shared" si="162"/>
        <v>357.059203</v>
      </c>
      <c r="F440" s="200">
        <f t="shared" si="162"/>
        <v>307.016803</v>
      </c>
      <c r="G440" s="200">
        <f t="shared" si="162"/>
        <v>40.128</v>
      </c>
      <c r="H440" s="200">
        <f t="shared" si="162"/>
        <v>9.9144</v>
      </c>
      <c r="I440" s="200">
        <f t="shared" si="162"/>
        <v>871.91</v>
      </c>
      <c r="J440" s="200">
        <f t="shared" si="162"/>
        <v>831.39</v>
      </c>
      <c r="K440" s="200">
        <f t="shared" si="162"/>
        <v>40.52</v>
      </c>
      <c r="L440" s="200">
        <f t="shared" si="162"/>
        <v>0</v>
      </c>
      <c r="M440" s="211"/>
      <c r="N440" s="176">
        <f t="shared" si="153"/>
        <v>1188.449203</v>
      </c>
    </row>
    <row r="441" ht="24" customHeight="1" spans="1:14">
      <c r="A441" s="198" t="s">
        <v>583</v>
      </c>
      <c r="B441" s="199" t="s">
        <v>295</v>
      </c>
      <c r="C441" s="199"/>
      <c r="D441" s="200">
        <f t="shared" ref="D441:L441" si="163">D442</f>
        <v>556.379203</v>
      </c>
      <c r="E441" s="200">
        <f t="shared" si="163"/>
        <v>357.059203</v>
      </c>
      <c r="F441" s="200">
        <f t="shared" si="163"/>
        <v>307.016803</v>
      </c>
      <c r="G441" s="200">
        <f t="shared" si="163"/>
        <v>40.128</v>
      </c>
      <c r="H441" s="200">
        <f t="shared" si="163"/>
        <v>9.9144</v>
      </c>
      <c r="I441" s="200">
        <f t="shared" si="163"/>
        <v>199.32</v>
      </c>
      <c r="J441" s="200">
        <f t="shared" si="163"/>
        <v>199.32</v>
      </c>
      <c r="K441" s="200">
        <f t="shared" si="163"/>
        <v>0</v>
      </c>
      <c r="L441" s="200">
        <f t="shared" si="163"/>
        <v>0</v>
      </c>
      <c r="M441" s="211"/>
      <c r="N441" s="176">
        <f t="shared" si="153"/>
        <v>556.379203</v>
      </c>
    </row>
    <row r="442" ht="93" customHeight="1" spans="1:14">
      <c r="A442" s="202"/>
      <c r="B442" s="203"/>
      <c r="C442" s="203" t="s">
        <v>510</v>
      </c>
      <c r="D442" s="200">
        <f t="shared" si="159"/>
        <v>556.379203</v>
      </c>
      <c r="E442" s="204">
        <f t="shared" si="160"/>
        <v>357.059203</v>
      </c>
      <c r="F442" s="205">
        <v>307.016803</v>
      </c>
      <c r="G442" s="205">
        <v>40.128</v>
      </c>
      <c r="H442" s="205">
        <v>9.9144</v>
      </c>
      <c r="I442" s="204">
        <f t="shared" si="161"/>
        <v>199.32</v>
      </c>
      <c r="J442" s="212">
        <v>199.32</v>
      </c>
      <c r="K442" s="205"/>
      <c r="L442" s="205"/>
      <c r="M442" s="213" t="s">
        <v>584</v>
      </c>
      <c r="N442" s="176">
        <f t="shared" si="153"/>
        <v>556.379203</v>
      </c>
    </row>
    <row r="443" ht="23" customHeight="1" spans="1:14">
      <c r="A443" s="198" t="s">
        <v>585</v>
      </c>
      <c r="B443" s="199" t="s">
        <v>382</v>
      </c>
      <c r="C443" s="199"/>
      <c r="D443" s="200">
        <f t="shared" ref="D443:L443" si="164">D444</f>
        <v>62.31</v>
      </c>
      <c r="E443" s="200">
        <f t="shared" si="164"/>
        <v>0</v>
      </c>
      <c r="F443" s="200">
        <f t="shared" si="164"/>
        <v>0</v>
      </c>
      <c r="G443" s="200">
        <f t="shared" si="164"/>
        <v>0</v>
      </c>
      <c r="H443" s="200">
        <f t="shared" si="164"/>
        <v>0</v>
      </c>
      <c r="I443" s="200">
        <f t="shared" si="164"/>
        <v>62.31</v>
      </c>
      <c r="J443" s="200">
        <f t="shared" si="164"/>
        <v>21.79</v>
      </c>
      <c r="K443" s="200">
        <f t="shared" si="164"/>
        <v>40.52</v>
      </c>
      <c r="L443" s="200">
        <f t="shared" si="164"/>
        <v>0</v>
      </c>
      <c r="M443" s="211"/>
      <c r="N443" s="176">
        <f t="shared" si="153"/>
        <v>21.79</v>
      </c>
    </row>
    <row r="444" ht="53" customHeight="1" spans="1:14">
      <c r="A444" s="202"/>
      <c r="B444" s="203"/>
      <c r="C444" s="203" t="s">
        <v>510</v>
      </c>
      <c r="D444" s="200">
        <f t="shared" ref="D444:D447" si="165">E444+I444</f>
        <v>62.31</v>
      </c>
      <c r="E444" s="204">
        <f t="shared" ref="E444:E447" si="166">SUM(F444:H444)</f>
        <v>0</v>
      </c>
      <c r="F444" s="205"/>
      <c r="G444" s="205"/>
      <c r="H444" s="205"/>
      <c r="I444" s="204">
        <f t="shared" ref="I444:I447" si="167">SUM(J444:L444)</f>
        <v>62.31</v>
      </c>
      <c r="J444" s="212">
        <v>21.79</v>
      </c>
      <c r="K444" s="205">
        <v>40.52</v>
      </c>
      <c r="L444" s="205"/>
      <c r="M444" s="213" t="s">
        <v>586</v>
      </c>
      <c r="N444" s="176">
        <f t="shared" si="153"/>
        <v>21.79</v>
      </c>
    </row>
    <row r="445" ht="22" customHeight="1" spans="1:14">
      <c r="A445" s="198" t="s">
        <v>587</v>
      </c>
      <c r="B445" s="199" t="s">
        <v>325</v>
      </c>
      <c r="C445" s="199"/>
      <c r="D445" s="200">
        <f t="shared" ref="D445:L445" si="168">SUM(D446:D447)</f>
        <v>37.96</v>
      </c>
      <c r="E445" s="200">
        <f t="shared" si="168"/>
        <v>0</v>
      </c>
      <c r="F445" s="200">
        <f t="shared" si="168"/>
        <v>0</v>
      </c>
      <c r="G445" s="200">
        <f t="shared" si="168"/>
        <v>0</v>
      </c>
      <c r="H445" s="200">
        <f t="shared" si="168"/>
        <v>0</v>
      </c>
      <c r="I445" s="200">
        <f t="shared" si="168"/>
        <v>37.96</v>
      </c>
      <c r="J445" s="200">
        <f t="shared" si="168"/>
        <v>37.96</v>
      </c>
      <c r="K445" s="200">
        <f t="shared" si="168"/>
        <v>0</v>
      </c>
      <c r="L445" s="200">
        <f t="shared" si="168"/>
        <v>0</v>
      </c>
      <c r="M445" s="211"/>
      <c r="N445" s="176">
        <f t="shared" si="153"/>
        <v>37.96</v>
      </c>
    </row>
    <row r="446" ht="26.25" customHeight="1" spans="1:14">
      <c r="A446" s="202"/>
      <c r="B446" s="203"/>
      <c r="C446" s="203" t="s">
        <v>510</v>
      </c>
      <c r="D446" s="200">
        <f t="shared" si="165"/>
        <v>0.58</v>
      </c>
      <c r="E446" s="204">
        <f t="shared" si="166"/>
        <v>0</v>
      </c>
      <c r="F446" s="205"/>
      <c r="G446" s="205"/>
      <c r="H446" s="205"/>
      <c r="I446" s="204">
        <f t="shared" si="167"/>
        <v>0.58</v>
      </c>
      <c r="J446" s="212">
        <v>0.58</v>
      </c>
      <c r="K446" s="205"/>
      <c r="L446" s="205"/>
      <c r="M446" s="213" t="s">
        <v>588</v>
      </c>
      <c r="N446" s="176">
        <f t="shared" si="153"/>
        <v>0.58</v>
      </c>
    </row>
    <row r="447" ht="21" customHeight="1" spans="1:14">
      <c r="A447" s="202"/>
      <c r="B447" s="203"/>
      <c r="C447" s="203" t="s">
        <v>510</v>
      </c>
      <c r="D447" s="200">
        <f t="shared" si="165"/>
        <v>37.38</v>
      </c>
      <c r="E447" s="204">
        <f t="shared" si="166"/>
        <v>0</v>
      </c>
      <c r="F447" s="205"/>
      <c r="G447" s="205"/>
      <c r="H447" s="205"/>
      <c r="I447" s="204">
        <f t="shared" si="167"/>
        <v>37.38</v>
      </c>
      <c r="J447" s="212">
        <v>37.38</v>
      </c>
      <c r="K447" s="205"/>
      <c r="L447" s="205"/>
      <c r="M447" s="213" t="s">
        <v>589</v>
      </c>
      <c r="N447" s="176">
        <f t="shared" si="153"/>
        <v>37.38</v>
      </c>
    </row>
    <row r="448" ht="21" customHeight="1" spans="1:14">
      <c r="A448" s="198" t="s">
        <v>590</v>
      </c>
      <c r="B448" s="199" t="s">
        <v>591</v>
      </c>
      <c r="C448" s="199"/>
      <c r="D448" s="200">
        <f t="shared" ref="D448:L448" si="169">D449</f>
        <v>16.67</v>
      </c>
      <c r="E448" s="200">
        <f t="shared" si="169"/>
        <v>0</v>
      </c>
      <c r="F448" s="200">
        <f t="shared" si="169"/>
        <v>0</v>
      </c>
      <c r="G448" s="200">
        <f t="shared" si="169"/>
        <v>0</v>
      </c>
      <c r="H448" s="200">
        <f t="shared" si="169"/>
        <v>0</v>
      </c>
      <c r="I448" s="200">
        <f t="shared" si="169"/>
        <v>16.67</v>
      </c>
      <c r="J448" s="200">
        <f t="shared" si="169"/>
        <v>16.67</v>
      </c>
      <c r="K448" s="200">
        <f t="shared" si="169"/>
        <v>0</v>
      </c>
      <c r="L448" s="200">
        <f t="shared" si="169"/>
        <v>0</v>
      </c>
      <c r="M448" s="211"/>
      <c r="N448" s="176">
        <f t="shared" si="153"/>
        <v>16.67</v>
      </c>
    </row>
    <row r="449" ht="26.25" customHeight="1" spans="1:14">
      <c r="A449" s="202"/>
      <c r="B449" s="203"/>
      <c r="C449" s="203" t="s">
        <v>510</v>
      </c>
      <c r="D449" s="200">
        <f t="shared" ref="D449:D456" si="170">E449+I449</f>
        <v>16.67</v>
      </c>
      <c r="E449" s="204">
        <f t="shared" ref="E449:E456" si="171">SUM(F449:H449)</f>
        <v>0</v>
      </c>
      <c r="F449" s="205"/>
      <c r="G449" s="205"/>
      <c r="H449" s="205"/>
      <c r="I449" s="204">
        <f t="shared" ref="I449:I456" si="172">SUM(J449:L449)</f>
        <v>16.67</v>
      </c>
      <c r="J449" s="212">
        <v>16.67</v>
      </c>
      <c r="K449" s="205"/>
      <c r="L449" s="205"/>
      <c r="M449" s="213" t="s">
        <v>592</v>
      </c>
      <c r="N449" s="176">
        <f t="shared" si="153"/>
        <v>16.67</v>
      </c>
    </row>
    <row r="450" ht="22" customHeight="1" spans="1:14">
      <c r="A450" s="198" t="s">
        <v>593</v>
      </c>
      <c r="B450" s="199" t="s">
        <v>594</v>
      </c>
      <c r="C450" s="199"/>
      <c r="D450" s="200">
        <f t="shared" ref="D450:L450" si="173">D451</f>
        <v>555.65</v>
      </c>
      <c r="E450" s="200">
        <f t="shared" si="173"/>
        <v>0</v>
      </c>
      <c r="F450" s="200">
        <f t="shared" si="173"/>
        <v>0</v>
      </c>
      <c r="G450" s="200">
        <f t="shared" si="173"/>
        <v>0</v>
      </c>
      <c r="H450" s="200">
        <f t="shared" si="173"/>
        <v>0</v>
      </c>
      <c r="I450" s="200">
        <f t="shared" si="173"/>
        <v>555.65</v>
      </c>
      <c r="J450" s="200">
        <f t="shared" si="173"/>
        <v>555.65</v>
      </c>
      <c r="K450" s="200">
        <f t="shared" si="173"/>
        <v>0</v>
      </c>
      <c r="L450" s="200">
        <f t="shared" si="173"/>
        <v>0</v>
      </c>
      <c r="M450" s="211"/>
      <c r="N450" s="176">
        <f t="shared" si="153"/>
        <v>555.65</v>
      </c>
    </row>
    <row r="451" ht="93" customHeight="1" spans="1:14">
      <c r="A451" s="202"/>
      <c r="B451" s="203"/>
      <c r="C451" s="203" t="s">
        <v>510</v>
      </c>
      <c r="D451" s="200">
        <f t="shared" si="170"/>
        <v>555.65</v>
      </c>
      <c r="E451" s="204">
        <f t="shared" si="171"/>
        <v>0</v>
      </c>
      <c r="F451" s="205"/>
      <c r="G451" s="205"/>
      <c r="H451" s="205"/>
      <c r="I451" s="204">
        <f t="shared" si="172"/>
        <v>555.65</v>
      </c>
      <c r="J451" s="212">
        <v>555.65</v>
      </c>
      <c r="K451" s="205"/>
      <c r="L451" s="205"/>
      <c r="M451" s="213" t="s">
        <v>595</v>
      </c>
      <c r="N451" s="176">
        <f t="shared" si="153"/>
        <v>555.65</v>
      </c>
    </row>
    <row r="452" ht="21" customHeight="1" spans="1:14">
      <c r="A452" s="198" t="s">
        <v>596</v>
      </c>
      <c r="B452" s="199" t="s">
        <v>597</v>
      </c>
      <c r="C452" s="199"/>
      <c r="D452" s="200">
        <f t="shared" ref="D452:L452" si="174">SUM(D453,D457)</f>
        <v>948.328217</v>
      </c>
      <c r="E452" s="200">
        <f t="shared" si="174"/>
        <v>318.928217</v>
      </c>
      <c r="F452" s="200">
        <f t="shared" si="174"/>
        <v>281.530417</v>
      </c>
      <c r="G452" s="200">
        <f t="shared" si="174"/>
        <v>29.794</v>
      </c>
      <c r="H452" s="200">
        <f t="shared" si="174"/>
        <v>7.6038</v>
      </c>
      <c r="I452" s="200">
        <f t="shared" si="174"/>
        <v>629.4</v>
      </c>
      <c r="J452" s="200">
        <f t="shared" si="174"/>
        <v>579.4</v>
      </c>
      <c r="K452" s="200">
        <f t="shared" si="174"/>
        <v>50</v>
      </c>
      <c r="L452" s="200">
        <f t="shared" si="174"/>
        <v>0</v>
      </c>
      <c r="M452" s="211"/>
      <c r="N452" s="176">
        <f t="shared" si="153"/>
        <v>898.328217</v>
      </c>
    </row>
    <row r="453" ht="21" customHeight="1" spans="1:14">
      <c r="A453" s="198" t="s">
        <v>598</v>
      </c>
      <c r="B453" s="199" t="s">
        <v>295</v>
      </c>
      <c r="C453" s="199"/>
      <c r="D453" s="200">
        <f t="shared" ref="D453:L453" si="175">SUM(D454:D456)</f>
        <v>374.878217</v>
      </c>
      <c r="E453" s="200">
        <f t="shared" si="175"/>
        <v>318.928217</v>
      </c>
      <c r="F453" s="200">
        <f t="shared" si="175"/>
        <v>281.530417</v>
      </c>
      <c r="G453" s="200">
        <f t="shared" si="175"/>
        <v>29.794</v>
      </c>
      <c r="H453" s="200">
        <f t="shared" si="175"/>
        <v>7.6038</v>
      </c>
      <c r="I453" s="200">
        <f t="shared" si="175"/>
        <v>55.95</v>
      </c>
      <c r="J453" s="200">
        <f t="shared" si="175"/>
        <v>55.95</v>
      </c>
      <c r="K453" s="200">
        <f t="shared" si="175"/>
        <v>0</v>
      </c>
      <c r="L453" s="200">
        <f t="shared" si="175"/>
        <v>0</v>
      </c>
      <c r="M453" s="211"/>
      <c r="N453" s="176">
        <f t="shared" si="153"/>
        <v>374.878217</v>
      </c>
    </row>
    <row r="454" ht="29" customHeight="1" spans="1:14">
      <c r="A454" s="202"/>
      <c r="B454" s="203"/>
      <c r="C454" s="203" t="s">
        <v>532</v>
      </c>
      <c r="D454" s="200">
        <f t="shared" si="170"/>
        <v>33.717064</v>
      </c>
      <c r="E454" s="204">
        <f t="shared" si="171"/>
        <v>24.717064</v>
      </c>
      <c r="F454" s="205">
        <v>21.505064</v>
      </c>
      <c r="G454" s="205">
        <v>3.212</v>
      </c>
      <c r="H454" s="205"/>
      <c r="I454" s="204">
        <f t="shared" si="172"/>
        <v>9</v>
      </c>
      <c r="J454" s="212">
        <v>9</v>
      </c>
      <c r="K454" s="205"/>
      <c r="L454" s="205"/>
      <c r="M454" s="213" t="s">
        <v>599</v>
      </c>
      <c r="N454" s="176">
        <f t="shared" si="153"/>
        <v>33.717064</v>
      </c>
    </row>
    <row r="455" ht="31" customHeight="1" spans="1:14">
      <c r="A455" s="202"/>
      <c r="B455" s="203"/>
      <c r="C455" s="203" t="s">
        <v>533</v>
      </c>
      <c r="D455" s="200">
        <f t="shared" si="170"/>
        <v>69.038823</v>
      </c>
      <c r="E455" s="204">
        <f t="shared" si="171"/>
        <v>59.038823</v>
      </c>
      <c r="F455" s="205">
        <v>49.406823</v>
      </c>
      <c r="G455" s="205">
        <v>6.53</v>
      </c>
      <c r="H455" s="205">
        <v>3.102</v>
      </c>
      <c r="I455" s="204">
        <f t="shared" si="172"/>
        <v>10</v>
      </c>
      <c r="J455" s="212">
        <v>10</v>
      </c>
      <c r="K455" s="205"/>
      <c r="L455" s="205"/>
      <c r="M455" s="213" t="s">
        <v>600</v>
      </c>
      <c r="N455" s="176">
        <f t="shared" si="153"/>
        <v>69.038823</v>
      </c>
    </row>
    <row r="456" ht="79" customHeight="1" spans="1:14">
      <c r="A456" s="202"/>
      <c r="B456" s="203"/>
      <c r="C456" s="203" t="s">
        <v>534</v>
      </c>
      <c r="D456" s="200">
        <f t="shared" si="170"/>
        <v>272.12233</v>
      </c>
      <c r="E456" s="204">
        <f t="shared" si="171"/>
        <v>235.17233</v>
      </c>
      <c r="F456" s="205">
        <v>210.61853</v>
      </c>
      <c r="G456" s="205">
        <v>20.052</v>
      </c>
      <c r="H456" s="205">
        <v>4.5018</v>
      </c>
      <c r="I456" s="204">
        <f t="shared" si="172"/>
        <v>36.95</v>
      </c>
      <c r="J456" s="212">
        <v>36.95</v>
      </c>
      <c r="K456" s="205"/>
      <c r="L456" s="205"/>
      <c r="M456" s="213" t="s">
        <v>601</v>
      </c>
      <c r="N456" s="176">
        <f t="shared" si="153"/>
        <v>272.12233</v>
      </c>
    </row>
    <row r="457" ht="22" customHeight="1" spans="1:14">
      <c r="A457" s="198" t="s">
        <v>602</v>
      </c>
      <c r="B457" s="199" t="s">
        <v>603</v>
      </c>
      <c r="C457" s="199"/>
      <c r="D457" s="200">
        <f t="shared" ref="D457:L457" si="176">SUM(D458:D459)</f>
        <v>573.45</v>
      </c>
      <c r="E457" s="200">
        <f t="shared" si="176"/>
        <v>0</v>
      </c>
      <c r="F457" s="200">
        <f t="shared" si="176"/>
        <v>0</v>
      </c>
      <c r="G457" s="200">
        <f t="shared" si="176"/>
        <v>0</v>
      </c>
      <c r="H457" s="200">
        <f t="shared" si="176"/>
        <v>0</v>
      </c>
      <c r="I457" s="200">
        <f t="shared" si="176"/>
        <v>573.45</v>
      </c>
      <c r="J457" s="200">
        <f t="shared" si="176"/>
        <v>523.45</v>
      </c>
      <c r="K457" s="200">
        <f t="shared" si="176"/>
        <v>50</v>
      </c>
      <c r="L457" s="200">
        <f t="shared" si="176"/>
        <v>0</v>
      </c>
      <c r="M457" s="211"/>
      <c r="N457" s="176">
        <f t="shared" ref="N457:N520" si="177">J457+E457</f>
        <v>523.45</v>
      </c>
    </row>
    <row r="458" ht="143" customHeight="1" spans="1:14">
      <c r="A458" s="202"/>
      <c r="B458" s="203"/>
      <c r="C458" s="203" t="s">
        <v>534</v>
      </c>
      <c r="D458" s="200">
        <f t="shared" ref="D458:D462" si="178">E458+I458</f>
        <v>570.05</v>
      </c>
      <c r="E458" s="204">
        <f t="shared" ref="E458:E462" si="179">SUM(F458:H458)</f>
        <v>0</v>
      </c>
      <c r="F458" s="205"/>
      <c r="G458" s="205"/>
      <c r="H458" s="205"/>
      <c r="I458" s="204">
        <f t="shared" ref="I458:I462" si="180">SUM(J458:L458)</f>
        <v>570.05</v>
      </c>
      <c r="J458" s="212">
        <v>520.05</v>
      </c>
      <c r="K458" s="205">
        <v>50</v>
      </c>
      <c r="L458" s="205"/>
      <c r="M458" s="213" t="s">
        <v>604</v>
      </c>
      <c r="N458" s="176">
        <f t="shared" si="177"/>
        <v>520.05</v>
      </c>
    </row>
    <row r="459" ht="27" customHeight="1" spans="1:14">
      <c r="A459" s="202"/>
      <c r="B459" s="203"/>
      <c r="C459" s="203" t="s">
        <v>541</v>
      </c>
      <c r="D459" s="200">
        <f t="shared" si="178"/>
        <v>3.4</v>
      </c>
      <c r="E459" s="204">
        <f t="shared" si="179"/>
        <v>0</v>
      </c>
      <c r="F459" s="205"/>
      <c r="G459" s="205"/>
      <c r="H459" s="205"/>
      <c r="I459" s="204">
        <f t="shared" si="180"/>
        <v>3.4</v>
      </c>
      <c r="J459" s="212">
        <v>3.4</v>
      </c>
      <c r="K459" s="205"/>
      <c r="L459" s="205"/>
      <c r="M459" s="213" t="s">
        <v>605</v>
      </c>
      <c r="N459" s="176">
        <f t="shared" si="177"/>
        <v>3.4</v>
      </c>
    </row>
    <row r="460" ht="26.25" customHeight="1" spans="1:14">
      <c r="A460" s="198" t="s">
        <v>606</v>
      </c>
      <c r="B460" s="199" t="s">
        <v>607</v>
      </c>
      <c r="C460" s="199"/>
      <c r="D460" s="200">
        <f t="shared" ref="D460:L460" si="181">D461+D463+D465</f>
        <v>131.496808</v>
      </c>
      <c r="E460" s="200">
        <f t="shared" si="181"/>
        <v>113.876808</v>
      </c>
      <c r="F460" s="200">
        <f t="shared" si="181"/>
        <v>92.888808</v>
      </c>
      <c r="G460" s="200">
        <f t="shared" si="181"/>
        <v>12.444</v>
      </c>
      <c r="H460" s="200">
        <f t="shared" si="181"/>
        <v>8.544</v>
      </c>
      <c r="I460" s="200">
        <f t="shared" si="181"/>
        <v>17.62</v>
      </c>
      <c r="J460" s="200">
        <f t="shared" si="181"/>
        <v>17.62</v>
      </c>
      <c r="K460" s="200">
        <f t="shared" si="181"/>
        <v>0</v>
      </c>
      <c r="L460" s="200">
        <f t="shared" si="181"/>
        <v>0</v>
      </c>
      <c r="M460" s="211"/>
      <c r="N460" s="176">
        <f t="shared" si="177"/>
        <v>131.496808</v>
      </c>
    </row>
    <row r="461" ht="26.25" customHeight="1" spans="1:14">
      <c r="A461" s="198" t="s">
        <v>608</v>
      </c>
      <c r="B461" s="199" t="s">
        <v>295</v>
      </c>
      <c r="C461" s="199"/>
      <c r="D461" s="200">
        <f t="shared" ref="D461:L461" si="182">D462</f>
        <v>126.576808</v>
      </c>
      <c r="E461" s="200">
        <f t="shared" si="182"/>
        <v>113.876808</v>
      </c>
      <c r="F461" s="200">
        <f t="shared" si="182"/>
        <v>92.888808</v>
      </c>
      <c r="G461" s="200">
        <f t="shared" si="182"/>
        <v>12.444</v>
      </c>
      <c r="H461" s="200">
        <f t="shared" si="182"/>
        <v>8.544</v>
      </c>
      <c r="I461" s="200">
        <f t="shared" si="182"/>
        <v>12.7</v>
      </c>
      <c r="J461" s="200">
        <f t="shared" si="182"/>
        <v>12.7</v>
      </c>
      <c r="K461" s="200">
        <f t="shared" si="182"/>
        <v>0</v>
      </c>
      <c r="L461" s="200">
        <f t="shared" si="182"/>
        <v>0</v>
      </c>
      <c r="M461" s="211"/>
      <c r="N461" s="176">
        <f t="shared" si="177"/>
        <v>126.576808</v>
      </c>
    </row>
    <row r="462" ht="51" customHeight="1" spans="1:14">
      <c r="A462" s="202"/>
      <c r="B462" s="203"/>
      <c r="C462" s="203" t="s">
        <v>482</v>
      </c>
      <c r="D462" s="200">
        <f t="shared" si="178"/>
        <v>126.576808</v>
      </c>
      <c r="E462" s="204">
        <f t="shared" si="179"/>
        <v>113.876808</v>
      </c>
      <c r="F462" s="205">
        <v>92.888808</v>
      </c>
      <c r="G462" s="205">
        <v>12.444</v>
      </c>
      <c r="H462" s="205">
        <v>8.544</v>
      </c>
      <c r="I462" s="204">
        <f t="shared" si="180"/>
        <v>12.7</v>
      </c>
      <c r="J462" s="212">
        <v>12.7</v>
      </c>
      <c r="K462" s="205"/>
      <c r="L462" s="205"/>
      <c r="M462" s="213" t="s">
        <v>609</v>
      </c>
      <c r="N462" s="176">
        <f t="shared" si="177"/>
        <v>126.576808</v>
      </c>
    </row>
    <row r="463" ht="26.25" customHeight="1" spans="1:14">
      <c r="A463" s="198" t="s">
        <v>610</v>
      </c>
      <c r="B463" s="199" t="s">
        <v>611</v>
      </c>
      <c r="C463" s="199"/>
      <c r="D463" s="200">
        <f t="shared" ref="D463:L463" si="183">D464</f>
        <v>0.72</v>
      </c>
      <c r="E463" s="200">
        <f t="shared" si="183"/>
        <v>0</v>
      </c>
      <c r="F463" s="200">
        <f t="shared" si="183"/>
        <v>0</v>
      </c>
      <c r="G463" s="200">
        <f t="shared" si="183"/>
        <v>0</v>
      </c>
      <c r="H463" s="200">
        <f t="shared" si="183"/>
        <v>0</v>
      </c>
      <c r="I463" s="200">
        <f t="shared" si="183"/>
        <v>0.72</v>
      </c>
      <c r="J463" s="200">
        <f t="shared" si="183"/>
        <v>0.72</v>
      </c>
      <c r="K463" s="200">
        <f t="shared" si="183"/>
        <v>0</v>
      </c>
      <c r="L463" s="200">
        <f t="shared" si="183"/>
        <v>0</v>
      </c>
      <c r="M463" s="211"/>
      <c r="N463" s="176">
        <f t="shared" si="177"/>
        <v>0.72</v>
      </c>
    </row>
    <row r="464" ht="26.25" customHeight="1" spans="1:14">
      <c r="A464" s="202"/>
      <c r="B464" s="203"/>
      <c r="C464" s="203" t="s">
        <v>482</v>
      </c>
      <c r="D464" s="200">
        <f t="shared" ref="D464:D469" si="184">E464+I464</f>
        <v>0.72</v>
      </c>
      <c r="E464" s="204">
        <f t="shared" ref="E464:E469" si="185">SUM(F464:H464)</f>
        <v>0</v>
      </c>
      <c r="F464" s="205"/>
      <c r="G464" s="205"/>
      <c r="H464" s="205"/>
      <c r="I464" s="204">
        <f t="shared" ref="I464:I469" si="186">SUM(J464:L464)</f>
        <v>0.72</v>
      </c>
      <c r="J464" s="212">
        <v>0.72</v>
      </c>
      <c r="K464" s="205"/>
      <c r="L464" s="205"/>
      <c r="M464" s="213" t="s">
        <v>612</v>
      </c>
      <c r="N464" s="176">
        <f t="shared" si="177"/>
        <v>0.72</v>
      </c>
    </row>
    <row r="465" ht="26.25" customHeight="1" spans="1:14">
      <c r="A465" s="198" t="s">
        <v>613</v>
      </c>
      <c r="B465" s="199" t="s">
        <v>614</v>
      </c>
      <c r="C465" s="199"/>
      <c r="D465" s="200">
        <f t="shared" ref="D465:L465" si="187">D466</f>
        <v>4.2</v>
      </c>
      <c r="E465" s="200">
        <f t="shared" si="187"/>
        <v>0</v>
      </c>
      <c r="F465" s="200">
        <f t="shared" si="187"/>
        <v>0</v>
      </c>
      <c r="G465" s="200">
        <f t="shared" si="187"/>
        <v>0</v>
      </c>
      <c r="H465" s="200">
        <f t="shared" si="187"/>
        <v>0</v>
      </c>
      <c r="I465" s="200">
        <f t="shared" si="187"/>
        <v>4.2</v>
      </c>
      <c r="J465" s="200">
        <f t="shared" si="187"/>
        <v>4.2</v>
      </c>
      <c r="K465" s="200">
        <f t="shared" si="187"/>
        <v>0</v>
      </c>
      <c r="L465" s="200">
        <f t="shared" si="187"/>
        <v>0</v>
      </c>
      <c r="M465" s="211"/>
      <c r="N465" s="176">
        <f t="shared" si="177"/>
        <v>4.2</v>
      </c>
    </row>
    <row r="466" ht="26.25" customHeight="1" spans="1:14">
      <c r="A466" s="202"/>
      <c r="B466" s="203"/>
      <c r="C466" s="203" t="s">
        <v>482</v>
      </c>
      <c r="D466" s="200">
        <f t="shared" si="184"/>
        <v>4.2</v>
      </c>
      <c r="E466" s="204">
        <f t="shared" si="185"/>
        <v>0</v>
      </c>
      <c r="F466" s="205"/>
      <c r="G466" s="205"/>
      <c r="H466" s="205"/>
      <c r="I466" s="204">
        <f t="shared" si="186"/>
        <v>4.2</v>
      </c>
      <c r="J466" s="212">
        <v>4.2</v>
      </c>
      <c r="K466" s="205"/>
      <c r="L466" s="205"/>
      <c r="M466" s="213" t="s">
        <v>615</v>
      </c>
      <c r="N466" s="176">
        <f t="shared" si="177"/>
        <v>4.2</v>
      </c>
    </row>
    <row r="467" ht="26.25" customHeight="1" spans="1:14">
      <c r="A467" s="198" t="s">
        <v>616</v>
      </c>
      <c r="B467" s="199" t="s">
        <v>617</v>
      </c>
      <c r="C467" s="199"/>
      <c r="D467" s="200">
        <f t="shared" ref="D467:L467" si="188">D468+D470</f>
        <v>252.179975</v>
      </c>
      <c r="E467" s="200">
        <f t="shared" si="188"/>
        <v>181.229975</v>
      </c>
      <c r="F467" s="200">
        <f t="shared" si="188"/>
        <v>159.742595</v>
      </c>
      <c r="G467" s="200">
        <f t="shared" si="188"/>
        <v>18.216</v>
      </c>
      <c r="H467" s="200">
        <f t="shared" si="188"/>
        <v>3.27138</v>
      </c>
      <c r="I467" s="200">
        <f t="shared" si="188"/>
        <v>70.95</v>
      </c>
      <c r="J467" s="200">
        <f t="shared" si="188"/>
        <v>70.95</v>
      </c>
      <c r="K467" s="200">
        <f t="shared" si="188"/>
        <v>0</v>
      </c>
      <c r="L467" s="200">
        <f t="shared" si="188"/>
        <v>0</v>
      </c>
      <c r="M467" s="211"/>
      <c r="N467" s="176">
        <f t="shared" si="177"/>
        <v>252.179975</v>
      </c>
    </row>
    <row r="468" ht="26.25" customHeight="1" spans="1:14">
      <c r="A468" s="198" t="s">
        <v>618</v>
      </c>
      <c r="B468" s="199" t="s">
        <v>295</v>
      </c>
      <c r="C468" s="199"/>
      <c r="D468" s="200">
        <f t="shared" ref="D468:L468" si="189">D469</f>
        <v>244.049975</v>
      </c>
      <c r="E468" s="200">
        <f t="shared" si="189"/>
        <v>181.229975</v>
      </c>
      <c r="F468" s="200">
        <f t="shared" si="189"/>
        <v>159.742595</v>
      </c>
      <c r="G468" s="200">
        <f t="shared" si="189"/>
        <v>18.216</v>
      </c>
      <c r="H468" s="200">
        <f t="shared" si="189"/>
        <v>3.27138</v>
      </c>
      <c r="I468" s="200">
        <f t="shared" si="189"/>
        <v>62.82</v>
      </c>
      <c r="J468" s="200">
        <f t="shared" si="189"/>
        <v>62.82</v>
      </c>
      <c r="K468" s="200">
        <f t="shared" si="189"/>
        <v>0</v>
      </c>
      <c r="L468" s="200">
        <f t="shared" si="189"/>
        <v>0</v>
      </c>
      <c r="M468" s="211"/>
      <c r="N468" s="176">
        <f t="shared" si="177"/>
        <v>244.049975</v>
      </c>
    </row>
    <row r="469" ht="108" customHeight="1" spans="1:14">
      <c r="A469" s="202"/>
      <c r="B469" s="203"/>
      <c r="C469" s="203" t="s">
        <v>511</v>
      </c>
      <c r="D469" s="200">
        <f t="shared" si="184"/>
        <v>244.049975</v>
      </c>
      <c r="E469" s="204">
        <f t="shared" si="185"/>
        <v>181.229975</v>
      </c>
      <c r="F469" s="205">
        <f>138.142595+21.6</f>
        <v>159.742595</v>
      </c>
      <c r="G469" s="205">
        <v>18.216</v>
      </c>
      <c r="H469" s="205">
        <v>3.27138</v>
      </c>
      <c r="I469" s="204">
        <f t="shared" si="186"/>
        <v>62.82</v>
      </c>
      <c r="J469" s="212">
        <v>62.82</v>
      </c>
      <c r="K469" s="205"/>
      <c r="L469" s="205"/>
      <c r="M469" s="213" t="s">
        <v>619</v>
      </c>
      <c r="N469" s="176">
        <f t="shared" si="177"/>
        <v>244.049975</v>
      </c>
    </row>
    <row r="470" ht="26.25" customHeight="1" spans="1:14">
      <c r="A470" s="198" t="s">
        <v>620</v>
      </c>
      <c r="B470" s="199" t="s">
        <v>617</v>
      </c>
      <c r="C470" s="199"/>
      <c r="D470" s="200">
        <f t="shared" ref="D470:L470" si="190">D471</f>
        <v>8.13</v>
      </c>
      <c r="E470" s="200">
        <f t="shared" si="190"/>
        <v>0</v>
      </c>
      <c r="F470" s="200">
        <f t="shared" si="190"/>
        <v>0</v>
      </c>
      <c r="G470" s="200">
        <f t="shared" si="190"/>
        <v>0</v>
      </c>
      <c r="H470" s="200">
        <f t="shared" si="190"/>
        <v>0</v>
      </c>
      <c r="I470" s="200">
        <f t="shared" si="190"/>
        <v>8.13</v>
      </c>
      <c r="J470" s="200">
        <f t="shared" si="190"/>
        <v>8.13</v>
      </c>
      <c r="K470" s="200">
        <f t="shared" si="190"/>
        <v>0</v>
      </c>
      <c r="L470" s="200">
        <f t="shared" si="190"/>
        <v>0</v>
      </c>
      <c r="M470" s="211"/>
      <c r="N470" s="176">
        <f t="shared" si="177"/>
        <v>8.13</v>
      </c>
    </row>
    <row r="471" ht="30" customHeight="1" spans="1:14">
      <c r="A471" s="202"/>
      <c r="B471" s="203"/>
      <c r="C471" s="203" t="s">
        <v>511</v>
      </c>
      <c r="D471" s="200">
        <f t="shared" ref="D471:D476" si="191">E471+I471</f>
        <v>8.13</v>
      </c>
      <c r="E471" s="204">
        <f t="shared" ref="E471:E476" si="192">SUM(F471:H471)</f>
        <v>0</v>
      </c>
      <c r="F471" s="205"/>
      <c r="G471" s="205"/>
      <c r="H471" s="205"/>
      <c r="I471" s="204">
        <f t="shared" ref="I471:I476" si="193">SUM(J471:L471)</f>
        <v>8.13</v>
      </c>
      <c r="J471" s="212">
        <v>8.13</v>
      </c>
      <c r="K471" s="205"/>
      <c r="L471" s="205"/>
      <c r="M471" s="213" t="s">
        <v>621</v>
      </c>
      <c r="N471" s="176">
        <f t="shared" si="177"/>
        <v>8.13</v>
      </c>
    </row>
    <row r="472" ht="26.25" customHeight="1" spans="1:14">
      <c r="A472" s="198" t="s">
        <v>622</v>
      </c>
      <c r="B472" s="199" t="s">
        <v>623</v>
      </c>
      <c r="C472" s="199"/>
      <c r="D472" s="200">
        <f t="shared" ref="D472:L472" si="194">SUBTOTAL(9,D473,D475,D477,D479,D481,D483,D485,D487,D489,D491)</f>
        <v>1292.585535</v>
      </c>
      <c r="E472" s="200">
        <f t="shared" si="194"/>
        <v>1172.805535</v>
      </c>
      <c r="F472" s="200">
        <f t="shared" si="194"/>
        <v>966.016755</v>
      </c>
      <c r="G472" s="200">
        <f t="shared" si="194"/>
        <v>163.444</v>
      </c>
      <c r="H472" s="200">
        <f t="shared" si="194"/>
        <v>43.34478</v>
      </c>
      <c r="I472" s="200">
        <f t="shared" si="194"/>
        <v>119.78</v>
      </c>
      <c r="J472" s="200">
        <f t="shared" si="194"/>
        <v>81.78</v>
      </c>
      <c r="K472" s="200">
        <f t="shared" si="194"/>
        <v>38</v>
      </c>
      <c r="L472" s="200">
        <f t="shared" si="194"/>
        <v>0</v>
      </c>
      <c r="M472" s="211"/>
      <c r="N472" s="176">
        <f t="shared" si="177"/>
        <v>1254.585535</v>
      </c>
    </row>
    <row r="473" ht="26.25" customHeight="1" spans="1:14">
      <c r="A473" s="198" t="s">
        <v>624</v>
      </c>
      <c r="B473" s="199" t="s">
        <v>295</v>
      </c>
      <c r="C473" s="199"/>
      <c r="D473" s="200">
        <f t="shared" ref="D473:L473" si="195">D474</f>
        <v>1181.205535</v>
      </c>
      <c r="E473" s="200">
        <f t="shared" si="195"/>
        <v>1172.805535</v>
      </c>
      <c r="F473" s="200">
        <f t="shared" si="195"/>
        <v>966.016755</v>
      </c>
      <c r="G473" s="200">
        <f t="shared" si="195"/>
        <v>163.444</v>
      </c>
      <c r="H473" s="200">
        <f t="shared" si="195"/>
        <v>43.34478</v>
      </c>
      <c r="I473" s="200">
        <f t="shared" si="195"/>
        <v>8.4</v>
      </c>
      <c r="J473" s="200">
        <f t="shared" si="195"/>
        <v>8.4</v>
      </c>
      <c r="K473" s="200">
        <f t="shared" si="195"/>
        <v>0</v>
      </c>
      <c r="L473" s="200">
        <f t="shared" si="195"/>
        <v>0</v>
      </c>
      <c r="M473" s="211"/>
      <c r="N473" s="176">
        <f t="shared" si="177"/>
        <v>1181.205535</v>
      </c>
    </row>
    <row r="474" ht="26.25" customHeight="1" spans="1:14">
      <c r="A474" s="202"/>
      <c r="B474" s="203"/>
      <c r="C474" s="203" t="s">
        <v>522</v>
      </c>
      <c r="D474" s="200">
        <f t="shared" si="191"/>
        <v>1181.205535</v>
      </c>
      <c r="E474" s="204">
        <f t="shared" si="192"/>
        <v>1172.805535</v>
      </c>
      <c r="F474" s="205">
        <v>966.016755</v>
      </c>
      <c r="G474" s="205">
        <v>163.444</v>
      </c>
      <c r="H474" s="205">
        <v>43.34478</v>
      </c>
      <c r="I474" s="204">
        <f t="shared" si="193"/>
        <v>8.4</v>
      </c>
      <c r="J474" s="212">
        <v>8.4</v>
      </c>
      <c r="K474" s="205"/>
      <c r="L474" s="205"/>
      <c r="M474" s="213" t="s">
        <v>625</v>
      </c>
      <c r="N474" s="176">
        <f t="shared" si="177"/>
        <v>1181.205535</v>
      </c>
    </row>
    <row r="475" ht="26.25" customHeight="1" spans="1:14">
      <c r="A475" s="198" t="s">
        <v>626</v>
      </c>
      <c r="B475" s="199" t="s">
        <v>382</v>
      </c>
      <c r="C475" s="199"/>
      <c r="D475" s="200">
        <f t="shared" ref="D475:L475" si="196">D476</f>
        <v>3.6</v>
      </c>
      <c r="E475" s="200">
        <f t="shared" si="196"/>
        <v>0</v>
      </c>
      <c r="F475" s="200">
        <f t="shared" si="196"/>
        <v>0</v>
      </c>
      <c r="G475" s="200">
        <f t="shared" si="196"/>
        <v>0</v>
      </c>
      <c r="H475" s="200">
        <f t="shared" si="196"/>
        <v>0</v>
      </c>
      <c r="I475" s="200">
        <f t="shared" si="196"/>
        <v>3.6</v>
      </c>
      <c r="J475" s="200">
        <f t="shared" si="196"/>
        <v>3.6</v>
      </c>
      <c r="K475" s="200">
        <f t="shared" si="196"/>
        <v>0</v>
      </c>
      <c r="L475" s="200">
        <f t="shared" si="196"/>
        <v>0</v>
      </c>
      <c r="M475" s="211"/>
      <c r="N475" s="176">
        <f t="shared" si="177"/>
        <v>3.6</v>
      </c>
    </row>
    <row r="476" ht="26.25" customHeight="1" spans="1:14">
      <c r="A476" s="202"/>
      <c r="B476" s="203"/>
      <c r="C476" s="203" t="s">
        <v>522</v>
      </c>
      <c r="D476" s="200">
        <f t="shared" si="191"/>
        <v>3.6</v>
      </c>
      <c r="E476" s="204">
        <f t="shared" si="192"/>
        <v>0</v>
      </c>
      <c r="F476" s="205"/>
      <c r="G476" s="205"/>
      <c r="H476" s="205"/>
      <c r="I476" s="204">
        <f t="shared" si="193"/>
        <v>3.6</v>
      </c>
      <c r="J476" s="212">
        <v>3.6</v>
      </c>
      <c r="K476" s="205"/>
      <c r="L476" s="205"/>
      <c r="M476" s="213" t="s">
        <v>627</v>
      </c>
      <c r="N476" s="176">
        <f t="shared" si="177"/>
        <v>3.6</v>
      </c>
    </row>
    <row r="477" ht="26.25" customHeight="1" spans="1:14">
      <c r="A477" s="198" t="s">
        <v>628</v>
      </c>
      <c r="B477" s="199" t="s">
        <v>629</v>
      </c>
      <c r="C477" s="199"/>
      <c r="D477" s="200">
        <f t="shared" ref="D477:L477" si="197">D478</f>
        <v>8.8</v>
      </c>
      <c r="E477" s="200">
        <f t="shared" si="197"/>
        <v>0</v>
      </c>
      <c r="F477" s="200">
        <f t="shared" si="197"/>
        <v>0</v>
      </c>
      <c r="G477" s="200">
        <f t="shared" si="197"/>
        <v>0</v>
      </c>
      <c r="H477" s="200">
        <f t="shared" si="197"/>
        <v>0</v>
      </c>
      <c r="I477" s="200">
        <f t="shared" si="197"/>
        <v>8.8</v>
      </c>
      <c r="J477" s="200">
        <f t="shared" si="197"/>
        <v>8.8</v>
      </c>
      <c r="K477" s="200">
        <f t="shared" si="197"/>
        <v>0</v>
      </c>
      <c r="L477" s="200">
        <f t="shared" si="197"/>
        <v>0</v>
      </c>
      <c r="M477" s="211"/>
      <c r="N477" s="176">
        <f t="shared" si="177"/>
        <v>8.8</v>
      </c>
    </row>
    <row r="478" ht="26.25" customHeight="1" spans="1:14">
      <c r="A478" s="202"/>
      <c r="B478" s="203"/>
      <c r="C478" s="203" t="s">
        <v>522</v>
      </c>
      <c r="D478" s="200">
        <f t="shared" ref="D478:D482" si="198">E478+I478</f>
        <v>8.8</v>
      </c>
      <c r="E478" s="204">
        <f t="shared" ref="E478:E482" si="199">SUM(F478:H478)</f>
        <v>0</v>
      </c>
      <c r="F478" s="205"/>
      <c r="G478" s="205"/>
      <c r="H478" s="205"/>
      <c r="I478" s="204">
        <f t="shared" ref="I478:I482" si="200">SUM(J478:L478)</f>
        <v>8.8</v>
      </c>
      <c r="J478" s="212">
        <v>8.8</v>
      </c>
      <c r="K478" s="205"/>
      <c r="L478" s="205"/>
      <c r="M478" s="213" t="s">
        <v>630</v>
      </c>
      <c r="N478" s="176">
        <f t="shared" si="177"/>
        <v>8.8</v>
      </c>
    </row>
    <row r="479" ht="26.25" customHeight="1" spans="1:14">
      <c r="A479" s="198" t="s">
        <v>631</v>
      </c>
      <c r="B479" s="199" t="s">
        <v>632</v>
      </c>
      <c r="C479" s="199"/>
      <c r="D479" s="200">
        <f t="shared" ref="D479:L479" si="201">D480</f>
        <v>21.45</v>
      </c>
      <c r="E479" s="200">
        <f t="shared" si="201"/>
        <v>0</v>
      </c>
      <c r="F479" s="200">
        <f t="shared" si="201"/>
        <v>0</v>
      </c>
      <c r="G479" s="200">
        <f t="shared" si="201"/>
        <v>0</v>
      </c>
      <c r="H479" s="200">
        <f t="shared" si="201"/>
        <v>0</v>
      </c>
      <c r="I479" s="200">
        <f t="shared" si="201"/>
        <v>21.45</v>
      </c>
      <c r="J479" s="200">
        <f t="shared" si="201"/>
        <v>21.45</v>
      </c>
      <c r="K479" s="200">
        <f t="shared" si="201"/>
        <v>0</v>
      </c>
      <c r="L479" s="200">
        <f t="shared" si="201"/>
        <v>0</v>
      </c>
      <c r="M479" s="211"/>
      <c r="N479" s="176">
        <f t="shared" si="177"/>
        <v>21.45</v>
      </c>
    </row>
    <row r="480" ht="26.25" customHeight="1" spans="1:14">
      <c r="A480" s="202"/>
      <c r="B480" s="203"/>
      <c r="C480" s="203" t="s">
        <v>522</v>
      </c>
      <c r="D480" s="200">
        <f t="shared" si="198"/>
        <v>21.45</v>
      </c>
      <c r="E480" s="204">
        <f t="shared" si="199"/>
        <v>0</v>
      </c>
      <c r="F480" s="205"/>
      <c r="G480" s="205"/>
      <c r="H480" s="205"/>
      <c r="I480" s="204">
        <f t="shared" si="200"/>
        <v>21.45</v>
      </c>
      <c r="J480" s="212">
        <v>21.45</v>
      </c>
      <c r="K480" s="205"/>
      <c r="L480" s="205"/>
      <c r="M480" s="213" t="s">
        <v>633</v>
      </c>
      <c r="N480" s="176">
        <f t="shared" si="177"/>
        <v>21.45</v>
      </c>
    </row>
    <row r="481" ht="26.25" customHeight="1" spans="1:14">
      <c r="A481" s="198" t="s">
        <v>634</v>
      </c>
      <c r="B481" s="199" t="s">
        <v>435</v>
      </c>
      <c r="C481" s="199"/>
      <c r="D481" s="200">
        <f t="shared" ref="D481:L481" si="202">D482</f>
        <v>3</v>
      </c>
      <c r="E481" s="200">
        <f t="shared" si="202"/>
        <v>0</v>
      </c>
      <c r="F481" s="200">
        <f t="shared" si="202"/>
        <v>0</v>
      </c>
      <c r="G481" s="200">
        <f t="shared" si="202"/>
        <v>0</v>
      </c>
      <c r="H481" s="200">
        <f t="shared" si="202"/>
        <v>0</v>
      </c>
      <c r="I481" s="200">
        <f t="shared" si="202"/>
        <v>3</v>
      </c>
      <c r="J481" s="200">
        <f t="shared" si="202"/>
        <v>3</v>
      </c>
      <c r="K481" s="200">
        <f t="shared" si="202"/>
        <v>0</v>
      </c>
      <c r="L481" s="200">
        <f t="shared" si="202"/>
        <v>0</v>
      </c>
      <c r="M481" s="211"/>
      <c r="N481" s="176">
        <f t="shared" si="177"/>
        <v>3</v>
      </c>
    </row>
    <row r="482" ht="26.25" customHeight="1" spans="1:14">
      <c r="A482" s="202"/>
      <c r="B482" s="203"/>
      <c r="C482" s="203" t="s">
        <v>522</v>
      </c>
      <c r="D482" s="200">
        <f t="shared" si="198"/>
        <v>3</v>
      </c>
      <c r="E482" s="204">
        <f t="shared" si="199"/>
        <v>0</v>
      </c>
      <c r="F482" s="205"/>
      <c r="G482" s="205"/>
      <c r="H482" s="205"/>
      <c r="I482" s="204">
        <f t="shared" si="200"/>
        <v>3</v>
      </c>
      <c r="J482" s="212">
        <v>3</v>
      </c>
      <c r="K482" s="205"/>
      <c r="L482" s="205"/>
      <c r="M482" s="213" t="s">
        <v>635</v>
      </c>
      <c r="N482" s="176">
        <f t="shared" si="177"/>
        <v>3</v>
      </c>
    </row>
    <row r="483" ht="26.25" customHeight="1" spans="1:14">
      <c r="A483" s="198" t="s">
        <v>636</v>
      </c>
      <c r="B483" s="199" t="s">
        <v>637</v>
      </c>
      <c r="C483" s="199"/>
      <c r="D483" s="200">
        <f t="shared" ref="D483:L483" si="203">D484</f>
        <v>17.38</v>
      </c>
      <c r="E483" s="200">
        <f t="shared" si="203"/>
        <v>0</v>
      </c>
      <c r="F483" s="200">
        <f t="shared" si="203"/>
        <v>0</v>
      </c>
      <c r="G483" s="200">
        <f t="shared" si="203"/>
        <v>0</v>
      </c>
      <c r="H483" s="200">
        <f t="shared" si="203"/>
        <v>0</v>
      </c>
      <c r="I483" s="200">
        <f t="shared" si="203"/>
        <v>17.38</v>
      </c>
      <c r="J483" s="200">
        <f t="shared" si="203"/>
        <v>17.38</v>
      </c>
      <c r="K483" s="200">
        <f t="shared" si="203"/>
        <v>0</v>
      </c>
      <c r="L483" s="200">
        <f t="shared" si="203"/>
        <v>0</v>
      </c>
      <c r="M483" s="211"/>
      <c r="N483" s="176">
        <f t="shared" si="177"/>
        <v>17.38</v>
      </c>
    </row>
    <row r="484" ht="26.25" customHeight="1" spans="1:14">
      <c r="A484" s="202"/>
      <c r="B484" s="203"/>
      <c r="C484" s="203" t="s">
        <v>522</v>
      </c>
      <c r="D484" s="200">
        <f t="shared" ref="D484:D488" si="204">E484+I484</f>
        <v>17.38</v>
      </c>
      <c r="E484" s="204">
        <f t="shared" ref="E484:E488" si="205">SUM(F484:H484)</f>
        <v>0</v>
      </c>
      <c r="F484" s="205"/>
      <c r="G484" s="205"/>
      <c r="H484" s="205"/>
      <c r="I484" s="204">
        <f t="shared" ref="I484:I488" si="206">SUM(J484:L484)</f>
        <v>17.38</v>
      </c>
      <c r="J484" s="212">
        <v>17.38</v>
      </c>
      <c r="K484" s="205"/>
      <c r="L484" s="205"/>
      <c r="M484" s="213" t="s">
        <v>638</v>
      </c>
      <c r="N484" s="176">
        <f t="shared" si="177"/>
        <v>17.38</v>
      </c>
    </row>
    <row r="485" ht="20" customHeight="1" spans="1:14">
      <c r="A485" s="198" t="s">
        <v>639</v>
      </c>
      <c r="B485" s="199" t="s">
        <v>640</v>
      </c>
      <c r="C485" s="199"/>
      <c r="D485" s="200">
        <f t="shared" ref="D485:L485" si="207">D486</f>
        <v>1.8</v>
      </c>
      <c r="E485" s="200">
        <f t="shared" si="207"/>
        <v>0</v>
      </c>
      <c r="F485" s="200">
        <f t="shared" si="207"/>
        <v>0</v>
      </c>
      <c r="G485" s="200">
        <f t="shared" si="207"/>
        <v>0</v>
      </c>
      <c r="H485" s="200">
        <f t="shared" si="207"/>
        <v>0</v>
      </c>
      <c r="I485" s="200">
        <f t="shared" si="207"/>
        <v>1.8</v>
      </c>
      <c r="J485" s="200">
        <f t="shared" si="207"/>
        <v>1.8</v>
      </c>
      <c r="K485" s="200">
        <f t="shared" si="207"/>
        <v>0</v>
      </c>
      <c r="L485" s="200">
        <f t="shared" si="207"/>
        <v>0</v>
      </c>
      <c r="M485" s="211"/>
      <c r="N485" s="176">
        <f t="shared" si="177"/>
        <v>1.8</v>
      </c>
    </row>
    <row r="486" ht="26.25" customHeight="1" spans="1:14">
      <c r="A486" s="202"/>
      <c r="B486" s="203"/>
      <c r="C486" s="203" t="s">
        <v>522</v>
      </c>
      <c r="D486" s="200">
        <f t="shared" si="204"/>
        <v>1.8</v>
      </c>
      <c r="E486" s="204">
        <f t="shared" si="205"/>
        <v>0</v>
      </c>
      <c r="F486" s="205"/>
      <c r="G486" s="205"/>
      <c r="H486" s="205"/>
      <c r="I486" s="204">
        <f t="shared" si="206"/>
        <v>1.8</v>
      </c>
      <c r="J486" s="212">
        <v>1.8</v>
      </c>
      <c r="K486" s="205"/>
      <c r="L486" s="205"/>
      <c r="M486" s="213" t="s">
        <v>641</v>
      </c>
      <c r="N486" s="176">
        <f t="shared" si="177"/>
        <v>1.8</v>
      </c>
    </row>
    <row r="487" ht="26.25" customHeight="1" spans="1:14">
      <c r="A487" s="198" t="s">
        <v>642</v>
      </c>
      <c r="B487" s="199" t="s">
        <v>643</v>
      </c>
      <c r="C487" s="199"/>
      <c r="D487" s="200">
        <f t="shared" ref="D487:L487" si="208">D488</f>
        <v>1.9</v>
      </c>
      <c r="E487" s="200">
        <f t="shared" si="208"/>
        <v>0</v>
      </c>
      <c r="F487" s="200">
        <f t="shared" si="208"/>
        <v>0</v>
      </c>
      <c r="G487" s="200">
        <f t="shared" si="208"/>
        <v>0</v>
      </c>
      <c r="H487" s="200">
        <f t="shared" si="208"/>
        <v>0</v>
      </c>
      <c r="I487" s="200">
        <f t="shared" si="208"/>
        <v>1.9</v>
      </c>
      <c r="J487" s="200">
        <f t="shared" si="208"/>
        <v>1.9</v>
      </c>
      <c r="K487" s="200">
        <f t="shared" si="208"/>
        <v>0</v>
      </c>
      <c r="L487" s="200">
        <f t="shared" si="208"/>
        <v>0</v>
      </c>
      <c r="M487" s="211"/>
      <c r="N487" s="176">
        <f t="shared" si="177"/>
        <v>1.9</v>
      </c>
    </row>
    <row r="488" ht="26.25" customHeight="1" spans="1:14">
      <c r="A488" s="202"/>
      <c r="B488" s="203"/>
      <c r="C488" s="203" t="s">
        <v>522</v>
      </c>
      <c r="D488" s="200">
        <f t="shared" si="204"/>
        <v>1.9</v>
      </c>
      <c r="E488" s="204">
        <f t="shared" si="205"/>
        <v>0</v>
      </c>
      <c r="F488" s="205"/>
      <c r="G488" s="205"/>
      <c r="H488" s="205"/>
      <c r="I488" s="204">
        <f t="shared" si="206"/>
        <v>1.9</v>
      </c>
      <c r="J488" s="212">
        <v>1.9</v>
      </c>
      <c r="K488" s="205"/>
      <c r="L488" s="205"/>
      <c r="M488" s="213" t="s">
        <v>644</v>
      </c>
      <c r="N488" s="176">
        <f t="shared" si="177"/>
        <v>1.9</v>
      </c>
    </row>
    <row r="489" ht="26.25" customHeight="1" spans="1:14">
      <c r="A489" s="198" t="s">
        <v>645</v>
      </c>
      <c r="B489" s="199" t="s">
        <v>646</v>
      </c>
      <c r="C489" s="199"/>
      <c r="D489" s="200">
        <f t="shared" ref="D489:L489" si="209">D490</f>
        <v>3.5</v>
      </c>
      <c r="E489" s="200">
        <f t="shared" si="209"/>
        <v>0</v>
      </c>
      <c r="F489" s="200">
        <f t="shared" si="209"/>
        <v>0</v>
      </c>
      <c r="G489" s="200">
        <f t="shared" si="209"/>
        <v>0</v>
      </c>
      <c r="H489" s="200">
        <f t="shared" si="209"/>
        <v>0</v>
      </c>
      <c r="I489" s="200">
        <f t="shared" si="209"/>
        <v>3.5</v>
      </c>
      <c r="J489" s="200">
        <f t="shared" si="209"/>
        <v>3.5</v>
      </c>
      <c r="K489" s="200">
        <f t="shared" si="209"/>
        <v>0</v>
      </c>
      <c r="L489" s="200">
        <f t="shared" si="209"/>
        <v>0</v>
      </c>
      <c r="M489" s="211"/>
      <c r="N489" s="176">
        <f t="shared" si="177"/>
        <v>3.5</v>
      </c>
    </row>
    <row r="490" ht="26.25" customHeight="1" spans="1:14">
      <c r="A490" s="202"/>
      <c r="B490" s="203"/>
      <c r="C490" s="203" t="s">
        <v>522</v>
      </c>
      <c r="D490" s="200">
        <f t="shared" ref="D490:D495" si="210">E490+I490</f>
        <v>3.5</v>
      </c>
      <c r="E490" s="204">
        <f t="shared" ref="E490:E495" si="211">SUM(F490:H490)</f>
        <v>0</v>
      </c>
      <c r="F490" s="205"/>
      <c r="G490" s="205"/>
      <c r="H490" s="205"/>
      <c r="I490" s="204">
        <f t="shared" ref="I490:I495" si="212">SUM(J490:L490)</f>
        <v>3.5</v>
      </c>
      <c r="J490" s="212">
        <v>3.5</v>
      </c>
      <c r="K490" s="205"/>
      <c r="L490" s="205"/>
      <c r="M490" s="213" t="s">
        <v>647</v>
      </c>
      <c r="N490" s="176">
        <f t="shared" si="177"/>
        <v>3.5</v>
      </c>
    </row>
    <row r="491" ht="26.25" customHeight="1" spans="1:14">
      <c r="A491" s="198" t="s">
        <v>648</v>
      </c>
      <c r="B491" s="199" t="s">
        <v>649</v>
      </c>
      <c r="C491" s="199"/>
      <c r="D491" s="200">
        <f t="shared" ref="D491:L491" si="213">D492</f>
        <v>49.95</v>
      </c>
      <c r="E491" s="200">
        <f t="shared" si="213"/>
        <v>0</v>
      </c>
      <c r="F491" s="200">
        <f t="shared" si="213"/>
        <v>0</v>
      </c>
      <c r="G491" s="200">
        <f t="shared" si="213"/>
        <v>0</v>
      </c>
      <c r="H491" s="200">
        <f t="shared" si="213"/>
        <v>0</v>
      </c>
      <c r="I491" s="200">
        <f t="shared" si="213"/>
        <v>49.95</v>
      </c>
      <c r="J491" s="200">
        <f t="shared" si="213"/>
        <v>11.95</v>
      </c>
      <c r="K491" s="200">
        <f t="shared" si="213"/>
        <v>38</v>
      </c>
      <c r="L491" s="200">
        <f t="shared" si="213"/>
        <v>0</v>
      </c>
      <c r="M491" s="211"/>
      <c r="N491" s="176">
        <f t="shared" si="177"/>
        <v>11.95</v>
      </c>
    </row>
    <row r="492" ht="26.25" customHeight="1" spans="1:14">
      <c r="A492" s="202"/>
      <c r="B492" s="203"/>
      <c r="C492" s="203" t="s">
        <v>522</v>
      </c>
      <c r="D492" s="200">
        <f t="shared" si="210"/>
        <v>49.95</v>
      </c>
      <c r="E492" s="204">
        <f t="shared" si="211"/>
        <v>0</v>
      </c>
      <c r="F492" s="205"/>
      <c r="G492" s="205"/>
      <c r="H492" s="205"/>
      <c r="I492" s="204">
        <f t="shared" si="212"/>
        <v>49.95</v>
      </c>
      <c r="J492" s="212">
        <v>11.95</v>
      </c>
      <c r="K492" s="205">
        <f>21+17</f>
        <v>38</v>
      </c>
      <c r="L492" s="205"/>
      <c r="M492" s="213" t="s">
        <v>650</v>
      </c>
      <c r="N492" s="176">
        <f t="shared" si="177"/>
        <v>11.95</v>
      </c>
    </row>
    <row r="493" ht="26.25" customHeight="1" spans="1:14">
      <c r="A493" s="198" t="s">
        <v>651</v>
      </c>
      <c r="B493" s="199" t="s">
        <v>652</v>
      </c>
      <c r="C493" s="199"/>
      <c r="D493" s="200">
        <f t="shared" ref="D493:L493" si="214">D494</f>
        <v>144</v>
      </c>
      <c r="E493" s="200">
        <f t="shared" si="214"/>
        <v>0</v>
      </c>
      <c r="F493" s="200">
        <f t="shared" si="214"/>
        <v>0</v>
      </c>
      <c r="G493" s="200">
        <f t="shared" si="214"/>
        <v>0</v>
      </c>
      <c r="H493" s="200">
        <f t="shared" si="214"/>
        <v>0</v>
      </c>
      <c r="I493" s="200">
        <f t="shared" si="214"/>
        <v>144</v>
      </c>
      <c r="J493" s="200">
        <f t="shared" si="214"/>
        <v>144</v>
      </c>
      <c r="K493" s="200">
        <f t="shared" si="214"/>
        <v>0</v>
      </c>
      <c r="L493" s="200">
        <f t="shared" si="214"/>
        <v>0</v>
      </c>
      <c r="M493" s="211"/>
      <c r="N493" s="176">
        <f t="shared" si="177"/>
        <v>144</v>
      </c>
    </row>
    <row r="494" ht="26.25" customHeight="1" spans="1:14">
      <c r="A494" s="198" t="s">
        <v>653</v>
      </c>
      <c r="B494" s="199" t="s">
        <v>652</v>
      </c>
      <c r="C494" s="199"/>
      <c r="D494" s="200">
        <f t="shared" si="210"/>
        <v>144</v>
      </c>
      <c r="E494" s="204">
        <f t="shared" si="211"/>
        <v>0</v>
      </c>
      <c r="F494" s="204"/>
      <c r="G494" s="204"/>
      <c r="H494" s="204"/>
      <c r="I494" s="204">
        <f t="shared" si="212"/>
        <v>144</v>
      </c>
      <c r="J494" s="216">
        <v>144</v>
      </c>
      <c r="K494" s="204"/>
      <c r="L494" s="204"/>
      <c r="M494" s="211"/>
      <c r="N494" s="176">
        <f t="shared" si="177"/>
        <v>144</v>
      </c>
    </row>
    <row r="495" ht="26.25" customHeight="1" spans="1:14">
      <c r="A495" s="202"/>
      <c r="B495" s="203"/>
      <c r="C495" s="203" t="s">
        <v>521</v>
      </c>
      <c r="D495" s="200">
        <f t="shared" si="210"/>
        <v>144</v>
      </c>
      <c r="E495" s="204">
        <f t="shared" si="211"/>
        <v>0</v>
      </c>
      <c r="F495" s="205"/>
      <c r="G495" s="205"/>
      <c r="H495" s="205"/>
      <c r="I495" s="204">
        <f t="shared" si="212"/>
        <v>144</v>
      </c>
      <c r="J495" s="212">
        <v>144</v>
      </c>
      <c r="K495" s="205"/>
      <c r="L495" s="205"/>
      <c r="M495" s="213" t="s">
        <v>654</v>
      </c>
      <c r="N495" s="176">
        <f t="shared" si="177"/>
        <v>144</v>
      </c>
    </row>
    <row r="496" ht="26.25" customHeight="1" spans="1:14">
      <c r="A496" s="198" t="s">
        <v>655</v>
      </c>
      <c r="B496" s="199" t="s">
        <v>656</v>
      </c>
      <c r="C496" s="199"/>
      <c r="D496" s="200">
        <f t="shared" ref="D496:L496" si="215">D497+D506</f>
        <v>189.14</v>
      </c>
      <c r="E496" s="200">
        <f t="shared" si="215"/>
        <v>0</v>
      </c>
      <c r="F496" s="200">
        <f t="shared" si="215"/>
        <v>0</v>
      </c>
      <c r="G496" s="200">
        <f t="shared" si="215"/>
        <v>0</v>
      </c>
      <c r="H496" s="200">
        <f t="shared" si="215"/>
        <v>0</v>
      </c>
      <c r="I496" s="200">
        <f t="shared" si="215"/>
        <v>189.14</v>
      </c>
      <c r="J496" s="200">
        <f t="shared" si="215"/>
        <v>189.14</v>
      </c>
      <c r="K496" s="200">
        <f t="shared" si="215"/>
        <v>0</v>
      </c>
      <c r="L496" s="200">
        <f t="shared" si="215"/>
        <v>0</v>
      </c>
      <c r="M496" s="211"/>
      <c r="N496" s="176">
        <f t="shared" si="177"/>
        <v>189.14</v>
      </c>
    </row>
    <row r="497" ht="26.25" customHeight="1" spans="1:14">
      <c r="A497" s="198" t="s">
        <v>657</v>
      </c>
      <c r="B497" s="199" t="s">
        <v>658</v>
      </c>
      <c r="C497" s="199"/>
      <c r="D497" s="200">
        <f t="shared" ref="D497:L497" si="216">D498+D500+D502+D504</f>
        <v>171.14</v>
      </c>
      <c r="E497" s="200">
        <f t="shared" si="216"/>
        <v>0</v>
      </c>
      <c r="F497" s="200">
        <f t="shared" si="216"/>
        <v>0</v>
      </c>
      <c r="G497" s="200">
        <f t="shared" si="216"/>
        <v>0</v>
      </c>
      <c r="H497" s="200">
        <f t="shared" si="216"/>
        <v>0</v>
      </c>
      <c r="I497" s="200">
        <f t="shared" si="216"/>
        <v>171.14</v>
      </c>
      <c r="J497" s="200">
        <f t="shared" si="216"/>
        <v>171.14</v>
      </c>
      <c r="K497" s="200">
        <f t="shared" si="216"/>
        <v>0</v>
      </c>
      <c r="L497" s="200">
        <f t="shared" si="216"/>
        <v>0</v>
      </c>
      <c r="M497" s="211"/>
      <c r="N497" s="176">
        <f t="shared" si="177"/>
        <v>171.14</v>
      </c>
    </row>
    <row r="498" ht="26.25" customHeight="1" spans="1:14">
      <c r="A498" s="198" t="s">
        <v>659</v>
      </c>
      <c r="B498" s="199" t="s">
        <v>660</v>
      </c>
      <c r="C498" s="199"/>
      <c r="D498" s="200">
        <f t="shared" ref="D498:L498" si="217">D499</f>
        <v>9</v>
      </c>
      <c r="E498" s="200">
        <f t="shared" si="217"/>
        <v>0</v>
      </c>
      <c r="F498" s="200">
        <f t="shared" si="217"/>
        <v>0</v>
      </c>
      <c r="G498" s="200">
        <f t="shared" si="217"/>
        <v>0</v>
      </c>
      <c r="H498" s="200">
        <f t="shared" si="217"/>
        <v>0</v>
      </c>
      <c r="I498" s="200">
        <f t="shared" si="217"/>
        <v>9</v>
      </c>
      <c r="J498" s="200">
        <f t="shared" si="217"/>
        <v>9</v>
      </c>
      <c r="K498" s="200">
        <f t="shared" si="217"/>
        <v>0</v>
      </c>
      <c r="L498" s="200">
        <f t="shared" si="217"/>
        <v>0</v>
      </c>
      <c r="M498" s="211"/>
      <c r="N498" s="176">
        <f t="shared" si="177"/>
        <v>9</v>
      </c>
    </row>
    <row r="499" ht="26.25" customHeight="1" spans="1:14">
      <c r="A499" s="202"/>
      <c r="B499" s="203"/>
      <c r="C499" s="203" t="s">
        <v>370</v>
      </c>
      <c r="D499" s="200">
        <f t="shared" ref="D499:D503" si="218">E499+I499</f>
        <v>9</v>
      </c>
      <c r="E499" s="204">
        <f t="shared" ref="E499:E503" si="219">SUM(F499:H499)</f>
        <v>0</v>
      </c>
      <c r="F499" s="205"/>
      <c r="G499" s="205"/>
      <c r="H499" s="205"/>
      <c r="I499" s="204">
        <f t="shared" ref="I499:I503" si="220">SUM(J499:L499)</f>
        <v>9</v>
      </c>
      <c r="J499" s="212">
        <v>9</v>
      </c>
      <c r="K499" s="205"/>
      <c r="L499" s="205"/>
      <c r="M499" s="213" t="s">
        <v>661</v>
      </c>
      <c r="N499" s="176">
        <f t="shared" si="177"/>
        <v>9</v>
      </c>
    </row>
    <row r="500" ht="26.25" customHeight="1" spans="1:14">
      <c r="A500" s="198" t="s">
        <v>662</v>
      </c>
      <c r="B500" s="199" t="s">
        <v>663</v>
      </c>
      <c r="C500" s="199"/>
      <c r="D500" s="200">
        <f t="shared" ref="D500:L500" si="221">D501</f>
        <v>16.8</v>
      </c>
      <c r="E500" s="200">
        <f t="shared" si="221"/>
        <v>0</v>
      </c>
      <c r="F500" s="200">
        <f t="shared" si="221"/>
        <v>0</v>
      </c>
      <c r="G500" s="200">
        <f t="shared" si="221"/>
        <v>0</v>
      </c>
      <c r="H500" s="200">
        <f t="shared" si="221"/>
        <v>0</v>
      </c>
      <c r="I500" s="200">
        <f t="shared" si="221"/>
        <v>16.8</v>
      </c>
      <c r="J500" s="200">
        <f t="shared" si="221"/>
        <v>16.8</v>
      </c>
      <c r="K500" s="200">
        <f t="shared" si="221"/>
        <v>0</v>
      </c>
      <c r="L500" s="200">
        <f t="shared" si="221"/>
        <v>0</v>
      </c>
      <c r="M500" s="211"/>
      <c r="N500" s="176">
        <f t="shared" si="177"/>
        <v>16.8</v>
      </c>
    </row>
    <row r="501" ht="60" customHeight="1" spans="1:14">
      <c r="A501" s="202"/>
      <c r="B501" s="203"/>
      <c r="C501" s="203" t="s">
        <v>535</v>
      </c>
      <c r="D501" s="200">
        <f t="shared" si="218"/>
        <v>16.8</v>
      </c>
      <c r="E501" s="204">
        <f t="shared" si="219"/>
        <v>0</v>
      </c>
      <c r="F501" s="205"/>
      <c r="G501" s="205"/>
      <c r="H501" s="205"/>
      <c r="I501" s="204">
        <f t="shared" si="220"/>
        <v>16.8</v>
      </c>
      <c r="J501" s="212">
        <v>16.8</v>
      </c>
      <c r="K501" s="205"/>
      <c r="L501" s="205"/>
      <c r="M501" s="213" t="s">
        <v>664</v>
      </c>
      <c r="N501" s="176">
        <f t="shared" si="177"/>
        <v>16.8</v>
      </c>
    </row>
    <row r="502" ht="26.25" customHeight="1" spans="1:14">
      <c r="A502" s="198" t="s">
        <v>665</v>
      </c>
      <c r="B502" s="199" t="s">
        <v>666</v>
      </c>
      <c r="C502" s="199"/>
      <c r="D502" s="200">
        <f t="shared" ref="D502:L502" si="222">D503</f>
        <v>142.74</v>
      </c>
      <c r="E502" s="200">
        <f t="shared" si="222"/>
        <v>0</v>
      </c>
      <c r="F502" s="200">
        <f t="shared" si="222"/>
        <v>0</v>
      </c>
      <c r="G502" s="200">
        <f t="shared" si="222"/>
        <v>0</v>
      </c>
      <c r="H502" s="200">
        <f t="shared" si="222"/>
        <v>0</v>
      </c>
      <c r="I502" s="200">
        <f t="shared" si="222"/>
        <v>142.74</v>
      </c>
      <c r="J502" s="200">
        <f t="shared" si="222"/>
        <v>142.74</v>
      </c>
      <c r="K502" s="200">
        <f t="shared" si="222"/>
        <v>0</v>
      </c>
      <c r="L502" s="200">
        <f t="shared" si="222"/>
        <v>0</v>
      </c>
      <c r="M502" s="211"/>
      <c r="N502" s="176">
        <f t="shared" si="177"/>
        <v>142.74</v>
      </c>
    </row>
    <row r="503" ht="55" customHeight="1" spans="1:14">
      <c r="A503" s="202"/>
      <c r="B503" s="203"/>
      <c r="C503" s="203" t="s">
        <v>370</v>
      </c>
      <c r="D503" s="200">
        <f t="shared" si="218"/>
        <v>142.74</v>
      </c>
      <c r="E503" s="204">
        <f t="shared" si="219"/>
        <v>0</v>
      </c>
      <c r="F503" s="205"/>
      <c r="G503" s="205"/>
      <c r="H503" s="205"/>
      <c r="I503" s="204">
        <f t="shared" si="220"/>
        <v>142.74</v>
      </c>
      <c r="J503" s="212">
        <v>142.74</v>
      </c>
      <c r="K503" s="205"/>
      <c r="L503" s="205"/>
      <c r="M503" s="213" t="s">
        <v>667</v>
      </c>
      <c r="N503" s="176">
        <f t="shared" si="177"/>
        <v>142.74</v>
      </c>
    </row>
    <row r="504" ht="23" customHeight="1" spans="1:14">
      <c r="A504" s="198" t="s">
        <v>668</v>
      </c>
      <c r="B504" s="199" t="s">
        <v>669</v>
      </c>
      <c r="C504" s="199"/>
      <c r="D504" s="200">
        <f t="shared" ref="D504:L504" si="223">D505</f>
        <v>2.6</v>
      </c>
      <c r="E504" s="200">
        <f t="shared" si="223"/>
        <v>0</v>
      </c>
      <c r="F504" s="200">
        <f t="shared" si="223"/>
        <v>0</v>
      </c>
      <c r="G504" s="200">
        <f t="shared" si="223"/>
        <v>0</v>
      </c>
      <c r="H504" s="200">
        <f t="shared" si="223"/>
        <v>0</v>
      </c>
      <c r="I504" s="200">
        <f t="shared" si="223"/>
        <v>2.6</v>
      </c>
      <c r="J504" s="200">
        <f t="shared" si="223"/>
        <v>2.6</v>
      </c>
      <c r="K504" s="200">
        <f t="shared" si="223"/>
        <v>0</v>
      </c>
      <c r="L504" s="200">
        <f t="shared" si="223"/>
        <v>0</v>
      </c>
      <c r="M504" s="211"/>
      <c r="N504" s="176">
        <f t="shared" si="177"/>
        <v>2.6</v>
      </c>
    </row>
    <row r="505" ht="23" customHeight="1" spans="1:14">
      <c r="A505" s="202"/>
      <c r="B505" s="203"/>
      <c r="C505" s="203" t="s">
        <v>370</v>
      </c>
      <c r="D505" s="200">
        <f t="shared" ref="D505:D512" si="224">E505+I505</f>
        <v>2.6</v>
      </c>
      <c r="E505" s="204">
        <f t="shared" ref="E505:E512" si="225">SUM(F505:H505)</f>
        <v>0</v>
      </c>
      <c r="F505" s="205"/>
      <c r="G505" s="205"/>
      <c r="H505" s="205"/>
      <c r="I505" s="204">
        <f t="shared" ref="I505:I512" si="226">SUM(J505:L505)</f>
        <v>2.6</v>
      </c>
      <c r="J505" s="212">
        <v>2.6</v>
      </c>
      <c r="K505" s="205"/>
      <c r="L505" s="205"/>
      <c r="M505" s="213" t="s">
        <v>670</v>
      </c>
      <c r="N505" s="176">
        <f t="shared" si="177"/>
        <v>2.6</v>
      </c>
    </row>
    <row r="506" ht="23" customHeight="1" spans="1:14">
      <c r="A506" s="198" t="s">
        <v>671</v>
      </c>
      <c r="B506" s="199" t="s">
        <v>672</v>
      </c>
      <c r="C506" s="199"/>
      <c r="D506" s="200">
        <f t="shared" ref="D506:L506" si="227">D507</f>
        <v>18</v>
      </c>
      <c r="E506" s="200">
        <f t="shared" si="227"/>
        <v>0</v>
      </c>
      <c r="F506" s="200">
        <f t="shared" si="227"/>
        <v>0</v>
      </c>
      <c r="G506" s="200">
        <f t="shared" si="227"/>
        <v>0</v>
      </c>
      <c r="H506" s="200">
        <f t="shared" si="227"/>
        <v>0</v>
      </c>
      <c r="I506" s="200">
        <f t="shared" si="227"/>
        <v>18</v>
      </c>
      <c r="J506" s="200">
        <f t="shared" si="227"/>
        <v>18</v>
      </c>
      <c r="K506" s="200">
        <f t="shared" si="227"/>
        <v>0</v>
      </c>
      <c r="L506" s="200">
        <f t="shared" si="227"/>
        <v>0</v>
      </c>
      <c r="M506" s="211"/>
      <c r="N506" s="176">
        <f t="shared" si="177"/>
        <v>18</v>
      </c>
    </row>
    <row r="507" ht="23" customHeight="1" spans="1:14">
      <c r="A507" s="198" t="s">
        <v>673</v>
      </c>
      <c r="B507" s="199" t="s">
        <v>672</v>
      </c>
      <c r="C507" s="199"/>
      <c r="D507" s="200">
        <f t="shared" ref="D507:L507" si="228">D508</f>
        <v>18</v>
      </c>
      <c r="E507" s="200">
        <f t="shared" si="228"/>
        <v>0</v>
      </c>
      <c r="F507" s="200">
        <f t="shared" si="228"/>
        <v>0</v>
      </c>
      <c r="G507" s="200">
        <f t="shared" si="228"/>
        <v>0</v>
      </c>
      <c r="H507" s="200">
        <f t="shared" si="228"/>
        <v>0</v>
      </c>
      <c r="I507" s="200">
        <f t="shared" si="228"/>
        <v>18</v>
      </c>
      <c r="J507" s="200">
        <f t="shared" si="228"/>
        <v>18</v>
      </c>
      <c r="K507" s="200">
        <f t="shared" si="228"/>
        <v>0</v>
      </c>
      <c r="L507" s="200">
        <f t="shared" si="228"/>
        <v>0</v>
      </c>
      <c r="M507" s="211"/>
      <c r="N507" s="176">
        <f t="shared" si="177"/>
        <v>18</v>
      </c>
    </row>
    <row r="508" ht="26.25" customHeight="1" spans="1:14">
      <c r="A508" s="202"/>
      <c r="B508" s="203"/>
      <c r="C508" s="203" t="s">
        <v>370</v>
      </c>
      <c r="D508" s="200">
        <f t="shared" si="224"/>
        <v>18</v>
      </c>
      <c r="E508" s="204">
        <f t="shared" si="225"/>
        <v>0</v>
      </c>
      <c r="F508" s="205"/>
      <c r="G508" s="205"/>
      <c r="H508" s="205"/>
      <c r="I508" s="204">
        <f t="shared" si="226"/>
        <v>18</v>
      </c>
      <c r="J508" s="212">
        <v>18</v>
      </c>
      <c r="K508" s="205"/>
      <c r="L508" s="205"/>
      <c r="M508" s="213" t="s">
        <v>674</v>
      </c>
      <c r="N508" s="176">
        <f t="shared" si="177"/>
        <v>18</v>
      </c>
    </row>
    <row r="509" ht="21" customHeight="1" spans="1:14">
      <c r="A509" s="198" t="s">
        <v>675</v>
      </c>
      <c r="B509" s="199" t="s">
        <v>676</v>
      </c>
      <c r="C509" s="199"/>
      <c r="D509" s="200">
        <f>SUM(D510,D513,D523,D532,D541,D555,D558)</f>
        <v>9759.835178</v>
      </c>
      <c r="E509" s="200">
        <f t="shared" ref="E509:K509" si="229">SUM(E510,E513,E523,E532,E541,E555,E558)</f>
        <v>5259.133178</v>
      </c>
      <c r="F509" s="200">
        <f t="shared" si="229"/>
        <v>4292.501838</v>
      </c>
      <c r="G509" s="200">
        <f t="shared" si="229"/>
        <v>860.336</v>
      </c>
      <c r="H509" s="200">
        <f t="shared" si="229"/>
        <v>106.29534</v>
      </c>
      <c r="I509" s="200">
        <f t="shared" si="229"/>
        <v>4500.702</v>
      </c>
      <c r="J509" s="200">
        <f t="shared" si="229"/>
        <v>3436.372</v>
      </c>
      <c r="K509" s="200">
        <f t="shared" si="229"/>
        <v>1064.33</v>
      </c>
      <c r="L509" s="200">
        <f>SUM(L510,L513,L523,L532,L541,L555)</f>
        <v>0</v>
      </c>
      <c r="M509" s="211"/>
      <c r="N509" s="176">
        <f t="shared" si="177"/>
        <v>8695.505178</v>
      </c>
    </row>
    <row r="510" ht="21" customHeight="1" spans="1:14">
      <c r="A510" s="198" t="s">
        <v>677</v>
      </c>
      <c r="B510" s="199" t="s">
        <v>678</v>
      </c>
      <c r="C510" s="199"/>
      <c r="D510" s="200">
        <f t="shared" si="224"/>
        <v>25.89</v>
      </c>
      <c r="E510" s="204">
        <f t="shared" si="225"/>
        <v>0</v>
      </c>
      <c r="F510" s="204"/>
      <c r="G510" s="204"/>
      <c r="H510" s="204"/>
      <c r="I510" s="204">
        <f t="shared" si="226"/>
        <v>25.89</v>
      </c>
      <c r="J510" s="216">
        <v>25.89</v>
      </c>
      <c r="K510" s="204"/>
      <c r="L510" s="204"/>
      <c r="M510" s="211"/>
      <c r="N510" s="176">
        <f t="shared" si="177"/>
        <v>25.89</v>
      </c>
    </row>
    <row r="511" ht="21" customHeight="1" spans="1:14">
      <c r="A511" s="198" t="s">
        <v>679</v>
      </c>
      <c r="B511" s="199" t="s">
        <v>678</v>
      </c>
      <c r="C511" s="199"/>
      <c r="D511" s="200">
        <f t="shared" si="224"/>
        <v>25.89</v>
      </c>
      <c r="E511" s="204">
        <f t="shared" si="225"/>
        <v>0</v>
      </c>
      <c r="F511" s="204"/>
      <c r="G511" s="204"/>
      <c r="H511" s="204"/>
      <c r="I511" s="204">
        <f t="shared" si="226"/>
        <v>25.89</v>
      </c>
      <c r="J511" s="216">
        <v>25.89</v>
      </c>
      <c r="K511" s="204"/>
      <c r="L511" s="204"/>
      <c r="M511" s="211"/>
      <c r="N511" s="176">
        <f t="shared" si="177"/>
        <v>25.89</v>
      </c>
    </row>
    <row r="512" ht="28" customHeight="1" spans="1:14">
      <c r="A512" s="202"/>
      <c r="B512" s="203"/>
      <c r="C512" s="203" t="s">
        <v>680</v>
      </c>
      <c r="D512" s="200">
        <f t="shared" si="224"/>
        <v>25.89</v>
      </c>
      <c r="E512" s="204">
        <f t="shared" si="225"/>
        <v>0</v>
      </c>
      <c r="F512" s="205"/>
      <c r="G512" s="205"/>
      <c r="H512" s="205"/>
      <c r="I512" s="204">
        <f t="shared" si="226"/>
        <v>25.89</v>
      </c>
      <c r="J512" s="212">
        <v>25.89</v>
      </c>
      <c r="K512" s="205"/>
      <c r="L512" s="205"/>
      <c r="M512" s="213" t="s">
        <v>681</v>
      </c>
      <c r="N512" s="176">
        <f t="shared" si="177"/>
        <v>25.89</v>
      </c>
    </row>
    <row r="513" ht="21" customHeight="1" spans="1:14">
      <c r="A513" s="198" t="s">
        <v>682</v>
      </c>
      <c r="B513" s="199" t="s">
        <v>683</v>
      </c>
      <c r="C513" s="199"/>
      <c r="D513" s="200">
        <f t="shared" ref="D513:L513" si="230">D514+D517+D519+D521</f>
        <v>6273.707766</v>
      </c>
      <c r="E513" s="200">
        <f t="shared" si="230"/>
        <v>3371.681766</v>
      </c>
      <c r="F513" s="200">
        <f t="shared" si="230"/>
        <v>2738.577206</v>
      </c>
      <c r="G513" s="200">
        <f t="shared" si="230"/>
        <v>585.874</v>
      </c>
      <c r="H513" s="200">
        <f t="shared" si="230"/>
        <v>47.23056</v>
      </c>
      <c r="I513" s="200">
        <f t="shared" si="230"/>
        <v>2902.026</v>
      </c>
      <c r="J513" s="200">
        <f t="shared" si="230"/>
        <v>2615.886</v>
      </c>
      <c r="K513" s="200">
        <f t="shared" si="230"/>
        <v>286.14</v>
      </c>
      <c r="L513" s="200">
        <f t="shared" si="230"/>
        <v>0</v>
      </c>
      <c r="M513" s="211"/>
      <c r="N513" s="176">
        <f t="shared" si="177"/>
        <v>5987.567766</v>
      </c>
    </row>
    <row r="514" ht="21" customHeight="1" spans="1:14">
      <c r="A514" s="198" t="s">
        <v>684</v>
      </c>
      <c r="B514" s="199" t="s">
        <v>295</v>
      </c>
      <c r="C514" s="199"/>
      <c r="D514" s="200">
        <f t="shared" ref="D514:L514" si="231">SUM(D515:D516)</f>
        <v>5757.837766</v>
      </c>
      <c r="E514" s="200">
        <f t="shared" si="231"/>
        <v>3371.681766</v>
      </c>
      <c r="F514" s="200">
        <f t="shared" si="231"/>
        <v>2738.577206</v>
      </c>
      <c r="G514" s="200">
        <f t="shared" si="231"/>
        <v>585.874</v>
      </c>
      <c r="H514" s="200">
        <f t="shared" si="231"/>
        <v>47.23056</v>
      </c>
      <c r="I514" s="200">
        <f t="shared" si="231"/>
        <v>2386.156</v>
      </c>
      <c r="J514" s="200">
        <f t="shared" si="231"/>
        <v>2371.156</v>
      </c>
      <c r="K514" s="200">
        <f t="shared" si="231"/>
        <v>15</v>
      </c>
      <c r="L514" s="200">
        <f t="shared" si="231"/>
        <v>0</v>
      </c>
      <c r="M514" s="211"/>
      <c r="N514" s="176">
        <f t="shared" si="177"/>
        <v>5742.837766</v>
      </c>
    </row>
    <row r="515" ht="198" customHeight="1" spans="1:14">
      <c r="A515" s="202"/>
      <c r="B515" s="203"/>
      <c r="C515" s="203" t="s">
        <v>512</v>
      </c>
      <c r="D515" s="200">
        <f t="shared" ref="D515:D518" si="232">E515+I515</f>
        <v>5047.408628</v>
      </c>
      <c r="E515" s="204">
        <f t="shared" ref="E515:E518" si="233">SUM(F515:H515)</f>
        <v>2996.700628</v>
      </c>
      <c r="F515" s="205">
        <v>2467.773028</v>
      </c>
      <c r="G515" s="205">
        <v>484.41</v>
      </c>
      <c r="H515" s="205">
        <v>44.5176</v>
      </c>
      <c r="I515" s="204">
        <f t="shared" ref="I515:I518" si="234">SUM(J515:L515)</f>
        <v>2050.708</v>
      </c>
      <c r="J515" s="212">
        <v>2035.708</v>
      </c>
      <c r="K515" s="205">
        <v>15</v>
      </c>
      <c r="L515" s="205"/>
      <c r="M515" s="213" t="s">
        <v>685</v>
      </c>
      <c r="N515" s="176">
        <f t="shared" si="177"/>
        <v>5032.408628</v>
      </c>
    </row>
    <row r="516" ht="36" customHeight="1" spans="1:14">
      <c r="A516" s="202"/>
      <c r="B516" s="203"/>
      <c r="C516" s="203" t="s">
        <v>523</v>
      </c>
      <c r="D516" s="200">
        <f t="shared" si="232"/>
        <v>710.429138</v>
      </c>
      <c r="E516" s="204">
        <f t="shared" si="233"/>
        <v>374.981138</v>
      </c>
      <c r="F516" s="205">
        <v>270.804178</v>
      </c>
      <c r="G516" s="205">
        <v>101.464</v>
      </c>
      <c r="H516" s="205">
        <v>2.71296</v>
      </c>
      <c r="I516" s="204">
        <f t="shared" si="234"/>
        <v>335.448</v>
      </c>
      <c r="J516" s="212">
        <v>335.448</v>
      </c>
      <c r="K516" s="205"/>
      <c r="L516" s="205"/>
      <c r="M516" s="213" t="s">
        <v>686</v>
      </c>
      <c r="N516" s="176">
        <f t="shared" si="177"/>
        <v>710.429138</v>
      </c>
    </row>
    <row r="517" ht="26.25" customHeight="1" spans="1:14">
      <c r="A517" s="198" t="s">
        <v>687</v>
      </c>
      <c r="B517" s="199" t="s">
        <v>435</v>
      </c>
      <c r="C517" s="199"/>
      <c r="D517" s="200">
        <f t="shared" ref="D517:L517" si="235">D518</f>
        <v>20.93</v>
      </c>
      <c r="E517" s="200">
        <f t="shared" si="235"/>
        <v>0</v>
      </c>
      <c r="F517" s="200">
        <f t="shared" si="235"/>
        <v>0</v>
      </c>
      <c r="G517" s="200">
        <f t="shared" si="235"/>
        <v>0</v>
      </c>
      <c r="H517" s="200">
        <f t="shared" si="235"/>
        <v>0</v>
      </c>
      <c r="I517" s="200">
        <f t="shared" si="235"/>
        <v>20.93</v>
      </c>
      <c r="J517" s="200">
        <f t="shared" si="235"/>
        <v>20.93</v>
      </c>
      <c r="K517" s="200">
        <f t="shared" si="235"/>
        <v>0</v>
      </c>
      <c r="L517" s="200">
        <f t="shared" si="235"/>
        <v>0</v>
      </c>
      <c r="M517" s="211"/>
      <c r="N517" s="176">
        <f t="shared" si="177"/>
        <v>20.93</v>
      </c>
    </row>
    <row r="518" ht="44" customHeight="1" spans="1:14">
      <c r="A518" s="202"/>
      <c r="B518" s="203"/>
      <c r="C518" s="203" t="s">
        <v>512</v>
      </c>
      <c r="D518" s="200">
        <f t="shared" si="232"/>
        <v>20.93</v>
      </c>
      <c r="E518" s="204">
        <f t="shared" si="233"/>
        <v>0</v>
      </c>
      <c r="F518" s="205"/>
      <c r="G518" s="205"/>
      <c r="H518" s="205"/>
      <c r="I518" s="204">
        <f t="shared" si="234"/>
        <v>20.93</v>
      </c>
      <c r="J518" s="212">
        <v>20.93</v>
      </c>
      <c r="K518" s="205"/>
      <c r="L518" s="205"/>
      <c r="M518" s="213" t="s">
        <v>688</v>
      </c>
      <c r="N518" s="176">
        <f t="shared" si="177"/>
        <v>20.93</v>
      </c>
    </row>
    <row r="519" ht="26.25" customHeight="1" spans="1:14">
      <c r="A519" s="198" t="s">
        <v>689</v>
      </c>
      <c r="B519" s="199" t="s">
        <v>690</v>
      </c>
      <c r="C519" s="199"/>
      <c r="D519" s="200">
        <f t="shared" ref="D519:L519" si="236">D520</f>
        <v>73.8</v>
      </c>
      <c r="E519" s="200">
        <f t="shared" si="236"/>
        <v>0</v>
      </c>
      <c r="F519" s="200">
        <f t="shared" si="236"/>
        <v>0</v>
      </c>
      <c r="G519" s="200">
        <f t="shared" si="236"/>
        <v>0</v>
      </c>
      <c r="H519" s="200">
        <f t="shared" si="236"/>
        <v>0</v>
      </c>
      <c r="I519" s="200">
        <f t="shared" si="236"/>
        <v>73.8</v>
      </c>
      <c r="J519" s="200">
        <f t="shared" si="236"/>
        <v>73.8</v>
      </c>
      <c r="K519" s="200">
        <f t="shared" si="236"/>
        <v>0</v>
      </c>
      <c r="L519" s="200">
        <f t="shared" si="236"/>
        <v>0</v>
      </c>
      <c r="M519" s="211"/>
      <c r="N519" s="176">
        <f t="shared" si="177"/>
        <v>73.8</v>
      </c>
    </row>
    <row r="520" ht="42" customHeight="1" spans="1:14">
      <c r="A520" s="202"/>
      <c r="B520" s="203"/>
      <c r="C520" s="203" t="s">
        <v>512</v>
      </c>
      <c r="D520" s="200">
        <f t="shared" ref="D520:D525" si="237">E520+I520</f>
        <v>73.8</v>
      </c>
      <c r="E520" s="204">
        <f t="shared" ref="E520:E525" si="238">SUM(F520:H520)</f>
        <v>0</v>
      </c>
      <c r="F520" s="205"/>
      <c r="G520" s="205"/>
      <c r="H520" s="205"/>
      <c r="I520" s="204">
        <f t="shared" ref="I520:I525" si="239">SUM(J520:L520)</f>
        <v>73.8</v>
      </c>
      <c r="J520" s="212">
        <v>73.8</v>
      </c>
      <c r="K520" s="205"/>
      <c r="L520" s="205"/>
      <c r="M520" s="213" t="s">
        <v>691</v>
      </c>
      <c r="N520" s="176">
        <f t="shared" si="177"/>
        <v>73.8</v>
      </c>
    </row>
    <row r="521" ht="26.25" customHeight="1" spans="1:14">
      <c r="A521" s="198" t="s">
        <v>692</v>
      </c>
      <c r="B521" s="199" t="s">
        <v>693</v>
      </c>
      <c r="C521" s="199"/>
      <c r="D521" s="200">
        <f t="shared" ref="D521:L521" si="240">D522</f>
        <v>421.14</v>
      </c>
      <c r="E521" s="200">
        <f t="shared" si="240"/>
        <v>0</v>
      </c>
      <c r="F521" s="200">
        <f t="shared" si="240"/>
        <v>0</v>
      </c>
      <c r="G521" s="200">
        <f t="shared" si="240"/>
        <v>0</v>
      </c>
      <c r="H521" s="200">
        <f t="shared" si="240"/>
        <v>0</v>
      </c>
      <c r="I521" s="200">
        <f t="shared" si="240"/>
        <v>421.14</v>
      </c>
      <c r="J521" s="200">
        <f t="shared" si="240"/>
        <v>150</v>
      </c>
      <c r="K521" s="200">
        <f t="shared" si="240"/>
        <v>271.14</v>
      </c>
      <c r="L521" s="200">
        <f t="shared" si="240"/>
        <v>0</v>
      </c>
      <c r="M521" s="211"/>
      <c r="N521" s="176">
        <f t="shared" ref="N521:N584" si="241">J521+E521</f>
        <v>150</v>
      </c>
    </row>
    <row r="522" ht="101" customHeight="1" spans="1:14">
      <c r="A522" s="202"/>
      <c r="B522" s="203"/>
      <c r="C522" s="203" t="s">
        <v>523</v>
      </c>
      <c r="D522" s="200">
        <f t="shared" si="237"/>
        <v>421.14</v>
      </c>
      <c r="E522" s="204">
        <f t="shared" si="238"/>
        <v>0</v>
      </c>
      <c r="F522" s="205"/>
      <c r="G522" s="205"/>
      <c r="H522" s="205"/>
      <c r="I522" s="204">
        <f t="shared" si="239"/>
        <v>421.14</v>
      </c>
      <c r="J522" s="212">
        <v>150</v>
      </c>
      <c r="K522" s="205">
        <v>271.14</v>
      </c>
      <c r="L522" s="205"/>
      <c r="M522" s="213" t="s">
        <v>694</v>
      </c>
      <c r="N522" s="176">
        <f t="shared" si="241"/>
        <v>150</v>
      </c>
    </row>
    <row r="523" ht="26.25" customHeight="1" spans="1:14">
      <c r="A523" s="198" t="s">
        <v>695</v>
      </c>
      <c r="B523" s="199" t="s">
        <v>696</v>
      </c>
      <c r="C523" s="199"/>
      <c r="D523" s="200">
        <f t="shared" ref="D523:L523" si="242">D524+D526+D528+D530</f>
        <v>710.935539</v>
      </c>
      <c r="E523" s="200">
        <f t="shared" si="242"/>
        <v>383.845539</v>
      </c>
      <c r="F523" s="200">
        <f t="shared" si="242"/>
        <v>313.058259</v>
      </c>
      <c r="G523" s="200">
        <f t="shared" si="242"/>
        <v>58.884</v>
      </c>
      <c r="H523" s="200">
        <f t="shared" si="242"/>
        <v>11.90328</v>
      </c>
      <c r="I523" s="200">
        <f t="shared" si="242"/>
        <v>327.09</v>
      </c>
      <c r="J523" s="200">
        <f t="shared" si="242"/>
        <v>169.31</v>
      </c>
      <c r="K523" s="200">
        <f t="shared" si="242"/>
        <v>157.78</v>
      </c>
      <c r="L523" s="200">
        <f t="shared" si="242"/>
        <v>0</v>
      </c>
      <c r="M523" s="211"/>
      <c r="N523" s="176">
        <f t="shared" si="241"/>
        <v>553.155539</v>
      </c>
    </row>
    <row r="524" ht="26.25" customHeight="1" spans="1:14">
      <c r="A524" s="198" t="s">
        <v>697</v>
      </c>
      <c r="B524" s="199" t="s">
        <v>295</v>
      </c>
      <c r="C524" s="199"/>
      <c r="D524" s="200">
        <f t="shared" ref="D524:L524" si="243">D525</f>
        <v>501.977539</v>
      </c>
      <c r="E524" s="200">
        <f t="shared" si="243"/>
        <v>383.845539</v>
      </c>
      <c r="F524" s="200">
        <f t="shared" si="243"/>
        <v>313.058259</v>
      </c>
      <c r="G524" s="200">
        <f t="shared" si="243"/>
        <v>58.884</v>
      </c>
      <c r="H524" s="200">
        <f t="shared" si="243"/>
        <v>11.90328</v>
      </c>
      <c r="I524" s="200">
        <f t="shared" si="243"/>
        <v>118.132</v>
      </c>
      <c r="J524" s="200">
        <f t="shared" si="243"/>
        <v>118.132</v>
      </c>
      <c r="K524" s="200">
        <f t="shared" si="243"/>
        <v>0</v>
      </c>
      <c r="L524" s="200">
        <f t="shared" si="243"/>
        <v>0</v>
      </c>
      <c r="M524" s="211"/>
      <c r="N524" s="176">
        <f t="shared" si="241"/>
        <v>501.977539</v>
      </c>
    </row>
    <row r="525" ht="42" customHeight="1" spans="1:14">
      <c r="A525" s="202"/>
      <c r="B525" s="203"/>
      <c r="C525" s="203" t="s">
        <v>513</v>
      </c>
      <c r="D525" s="200">
        <f t="shared" si="237"/>
        <v>501.977539</v>
      </c>
      <c r="E525" s="204">
        <f t="shared" si="238"/>
        <v>383.845539</v>
      </c>
      <c r="F525" s="205">
        <v>313.058259</v>
      </c>
      <c r="G525" s="205">
        <v>58.884</v>
      </c>
      <c r="H525" s="205">
        <v>11.90328</v>
      </c>
      <c r="I525" s="204">
        <f t="shared" si="239"/>
        <v>118.132</v>
      </c>
      <c r="J525" s="212">
        <v>118.132</v>
      </c>
      <c r="K525" s="205"/>
      <c r="L525" s="205"/>
      <c r="M525" s="213" t="s">
        <v>698</v>
      </c>
      <c r="N525" s="176">
        <f t="shared" si="241"/>
        <v>501.977539</v>
      </c>
    </row>
    <row r="526" ht="26.25" customHeight="1" spans="1:14">
      <c r="A526" s="198" t="s">
        <v>699</v>
      </c>
      <c r="B526" s="199" t="s">
        <v>382</v>
      </c>
      <c r="C526" s="199"/>
      <c r="D526" s="200">
        <f t="shared" ref="D526:L526" si="244">D527</f>
        <v>1.36</v>
      </c>
      <c r="E526" s="200">
        <f t="shared" si="244"/>
        <v>0</v>
      </c>
      <c r="F526" s="200">
        <f t="shared" si="244"/>
        <v>0</v>
      </c>
      <c r="G526" s="200">
        <f t="shared" si="244"/>
        <v>0</v>
      </c>
      <c r="H526" s="200">
        <f t="shared" si="244"/>
        <v>0</v>
      </c>
      <c r="I526" s="200">
        <f t="shared" si="244"/>
        <v>1.36</v>
      </c>
      <c r="J526" s="200">
        <f t="shared" si="244"/>
        <v>1.36</v>
      </c>
      <c r="K526" s="200">
        <f t="shared" si="244"/>
        <v>0</v>
      </c>
      <c r="L526" s="200">
        <f t="shared" si="244"/>
        <v>0</v>
      </c>
      <c r="M526" s="211"/>
      <c r="N526" s="176">
        <f t="shared" si="241"/>
        <v>1.36</v>
      </c>
    </row>
    <row r="527" ht="32" customHeight="1" spans="1:14">
      <c r="A527" s="202"/>
      <c r="B527" s="203"/>
      <c r="C527" s="203" t="s">
        <v>513</v>
      </c>
      <c r="D527" s="200">
        <f t="shared" ref="D527:D531" si="245">E527+I527</f>
        <v>1.36</v>
      </c>
      <c r="E527" s="204">
        <f t="shared" ref="E527:E531" si="246">SUM(F527:H527)</f>
        <v>0</v>
      </c>
      <c r="F527" s="205"/>
      <c r="G527" s="205"/>
      <c r="H527" s="205"/>
      <c r="I527" s="204">
        <f t="shared" ref="I527:I531" si="247">SUM(J527:L527)</f>
        <v>1.36</v>
      </c>
      <c r="J527" s="212">
        <v>1.36</v>
      </c>
      <c r="K527" s="205"/>
      <c r="L527" s="205"/>
      <c r="M527" s="213" t="s">
        <v>700</v>
      </c>
      <c r="N527" s="176">
        <f t="shared" si="241"/>
        <v>1.36</v>
      </c>
    </row>
    <row r="528" ht="26.25" customHeight="1" spans="1:14">
      <c r="A528" s="198" t="s">
        <v>701</v>
      </c>
      <c r="B528" s="199" t="s">
        <v>702</v>
      </c>
      <c r="C528" s="199"/>
      <c r="D528" s="200">
        <f t="shared" ref="D528:L528" si="248">D529</f>
        <v>34</v>
      </c>
      <c r="E528" s="200">
        <f t="shared" si="248"/>
        <v>0</v>
      </c>
      <c r="F528" s="200">
        <f t="shared" si="248"/>
        <v>0</v>
      </c>
      <c r="G528" s="200">
        <f t="shared" si="248"/>
        <v>0</v>
      </c>
      <c r="H528" s="200">
        <f t="shared" si="248"/>
        <v>0</v>
      </c>
      <c r="I528" s="200">
        <f t="shared" si="248"/>
        <v>34</v>
      </c>
      <c r="J528" s="200">
        <f t="shared" si="248"/>
        <v>34</v>
      </c>
      <c r="K528" s="200">
        <f t="shared" si="248"/>
        <v>0</v>
      </c>
      <c r="L528" s="200">
        <f t="shared" si="248"/>
        <v>0</v>
      </c>
      <c r="M528" s="211"/>
      <c r="N528" s="176">
        <f t="shared" si="241"/>
        <v>34</v>
      </c>
    </row>
    <row r="529" ht="60" customHeight="1" spans="1:14">
      <c r="A529" s="202"/>
      <c r="B529" s="203"/>
      <c r="C529" s="203" t="s">
        <v>513</v>
      </c>
      <c r="D529" s="200">
        <f t="shared" si="245"/>
        <v>34</v>
      </c>
      <c r="E529" s="204">
        <f t="shared" si="246"/>
        <v>0</v>
      </c>
      <c r="F529" s="205"/>
      <c r="G529" s="205"/>
      <c r="H529" s="205"/>
      <c r="I529" s="204">
        <f t="shared" si="247"/>
        <v>34</v>
      </c>
      <c r="J529" s="212">
        <v>34</v>
      </c>
      <c r="K529" s="205"/>
      <c r="L529" s="205"/>
      <c r="M529" s="213" t="s">
        <v>703</v>
      </c>
      <c r="N529" s="176">
        <f t="shared" si="241"/>
        <v>34</v>
      </c>
    </row>
    <row r="530" ht="26.25" customHeight="1" spans="1:14">
      <c r="A530" s="198" t="s">
        <v>704</v>
      </c>
      <c r="B530" s="199" t="s">
        <v>705</v>
      </c>
      <c r="C530" s="199"/>
      <c r="D530" s="200">
        <f t="shared" ref="D530:L530" si="249">D531</f>
        <v>173.598</v>
      </c>
      <c r="E530" s="200">
        <f t="shared" si="249"/>
        <v>0</v>
      </c>
      <c r="F530" s="200">
        <f t="shared" si="249"/>
        <v>0</v>
      </c>
      <c r="G530" s="200">
        <f t="shared" si="249"/>
        <v>0</v>
      </c>
      <c r="H530" s="200">
        <f t="shared" si="249"/>
        <v>0</v>
      </c>
      <c r="I530" s="200">
        <f t="shared" si="249"/>
        <v>173.598</v>
      </c>
      <c r="J530" s="200">
        <f t="shared" si="249"/>
        <v>15.818</v>
      </c>
      <c r="K530" s="200">
        <f t="shared" si="249"/>
        <v>157.78</v>
      </c>
      <c r="L530" s="200">
        <f t="shared" si="249"/>
        <v>0</v>
      </c>
      <c r="M530" s="211"/>
      <c r="N530" s="176">
        <f t="shared" si="241"/>
        <v>15.818</v>
      </c>
    </row>
    <row r="531" ht="45" customHeight="1" spans="1:14">
      <c r="A531" s="202"/>
      <c r="B531" s="203"/>
      <c r="C531" s="203" t="s">
        <v>513</v>
      </c>
      <c r="D531" s="200">
        <f t="shared" si="245"/>
        <v>173.598</v>
      </c>
      <c r="E531" s="204">
        <f t="shared" si="246"/>
        <v>0</v>
      </c>
      <c r="F531" s="205"/>
      <c r="G531" s="205"/>
      <c r="H531" s="205"/>
      <c r="I531" s="204">
        <f t="shared" si="247"/>
        <v>173.598</v>
      </c>
      <c r="J531" s="212">
        <v>15.818</v>
      </c>
      <c r="K531" s="205">
        <f>157.38+0.4</f>
        <v>157.78</v>
      </c>
      <c r="L531" s="205"/>
      <c r="M531" s="213" t="s">
        <v>706</v>
      </c>
      <c r="N531" s="176">
        <f t="shared" si="241"/>
        <v>15.818</v>
      </c>
    </row>
    <row r="532" ht="26.25" customHeight="1" spans="1:14">
      <c r="A532" s="198" t="s">
        <v>707</v>
      </c>
      <c r="B532" s="199" t="s">
        <v>514</v>
      </c>
      <c r="C532" s="199"/>
      <c r="D532" s="200">
        <f t="shared" ref="D532:L532" si="250">D533+D535+D537+D539</f>
        <v>1481.209849</v>
      </c>
      <c r="E532" s="200">
        <f t="shared" si="250"/>
        <v>928.243849</v>
      </c>
      <c r="F532" s="200">
        <f t="shared" si="250"/>
        <v>766.548609</v>
      </c>
      <c r="G532" s="200">
        <f t="shared" si="250"/>
        <v>138.562</v>
      </c>
      <c r="H532" s="200">
        <f t="shared" si="250"/>
        <v>23.13324</v>
      </c>
      <c r="I532" s="200">
        <f t="shared" si="250"/>
        <v>552.966</v>
      </c>
      <c r="J532" s="200">
        <f t="shared" si="250"/>
        <v>354.586</v>
      </c>
      <c r="K532" s="200">
        <f t="shared" si="250"/>
        <v>198.38</v>
      </c>
      <c r="L532" s="200">
        <f t="shared" si="250"/>
        <v>0</v>
      </c>
      <c r="M532" s="211"/>
      <c r="N532" s="176">
        <f t="shared" si="241"/>
        <v>1282.829849</v>
      </c>
    </row>
    <row r="533" ht="26.25" customHeight="1" spans="1:14">
      <c r="A533" s="198" t="s">
        <v>708</v>
      </c>
      <c r="B533" s="199" t="s">
        <v>295</v>
      </c>
      <c r="C533" s="199"/>
      <c r="D533" s="200">
        <f t="shared" ref="D533:L533" si="251">D534</f>
        <v>1225.129849</v>
      </c>
      <c r="E533" s="200">
        <f t="shared" si="251"/>
        <v>928.243849</v>
      </c>
      <c r="F533" s="200">
        <f t="shared" si="251"/>
        <v>766.548609</v>
      </c>
      <c r="G533" s="200">
        <f t="shared" si="251"/>
        <v>138.562</v>
      </c>
      <c r="H533" s="200">
        <f t="shared" si="251"/>
        <v>23.13324</v>
      </c>
      <c r="I533" s="200">
        <f t="shared" si="251"/>
        <v>296.886</v>
      </c>
      <c r="J533" s="200">
        <f t="shared" si="251"/>
        <v>296.886</v>
      </c>
      <c r="K533" s="200">
        <f t="shared" si="251"/>
        <v>0</v>
      </c>
      <c r="L533" s="200">
        <f t="shared" si="251"/>
        <v>0</v>
      </c>
      <c r="M533" s="211"/>
      <c r="N533" s="176">
        <f t="shared" si="241"/>
        <v>1225.129849</v>
      </c>
    </row>
    <row r="534" ht="111" customHeight="1" spans="1:14">
      <c r="A534" s="202"/>
      <c r="B534" s="203"/>
      <c r="C534" s="203" t="s">
        <v>514</v>
      </c>
      <c r="D534" s="200">
        <f t="shared" ref="D534:D538" si="252">E534+I534</f>
        <v>1225.129849</v>
      </c>
      <c r="E534" s="204">
        <f t="shared" ref="E534:E538" si="253">SUM(F534:H534)</f>
        <v>928.243849</v>
      </c>
      <c r="F534" s="205">
        <v>766.548609</v>
      </c>
      <c r="G534" s="205">
        <v>138.562</v>
      </c>
      <c r="H534" s="205">
        <v>23.13324</v>
      </c>
      <c r="I534" s="204">
        <f t="shared" ref="I534:I538" si="254">SUM(J534:L534)</f>
        <v>296.886</v>
      </c>
      <c r="J534" s="212">
        <v>296.886</v>
      </c>
      <c r="K534" s="205"/>
      <c r="L534" s="205"/>
      <c r="M534" s="213" t="s">
        <v>709</v>
      </c>
      <c r="N534" s="176">
        <f t="shared" si="241"/>
        <v>1225.129849</v>
      </c>
    </row>
    <row r="535" ht="26.25" customHeight="1" spans="1:14">
      <c r="A535" s="198" t="s">
        <v>710</v>
      </c>
      <c r="B535" s="199" t="s">
        <v>711</v>
      </c>
      <c r="C535" s="199"/>
      <c r="D535" s="200">
        <f t="shared" ref="D535:L535" si="255">D536</f>
        <v>15.5</v>
      </c>
      <c r="E535" s="200">
        <f t="shared" si="255"/>
        <v>0</v>
      </c>
      <c r="F535" s="200">
        <f t="shared" si="255"/>
        <v>0</v>
      </c>
      <c r="G535" s="200">
        <f t="shared" si="255"/>
        <v>0</v>
      </c>
      <c r="H535" s="200">
        <f t="shared" si="255"/>
        <v>0</v>
      </c>
      <c r="I535" s="200">
        <f t="shared" si="255"/>
        <v>15.5</v>
      </c>
      <c r="J535" s="200">
        <f t="shared" si="255"/>
        <v>15.5</v>
      </c>
      <c r="K535" s="200">
        <f t="shared" si="255"/>
        <v>0</v>
      </c>
      <c r="L535" s="200">
        <f t="shared" si="255"/>
        <v>0</v>
      </c>
      <c r="M535" s="211"/>
      <c r="N535" s="176">
        <f t="shared" si="241"/>
        <v>15.5</v>
      </c>
    </row>
    <row r="536" ht="33" customHeight="1" spans="1:14">
      <c r="A536" s="202"/>
      <c r="B536" s="203"/>
      <c r="C536" s="203" t="s">
        <v>514</v>
      </c>
      <c r="D536" s="200">
        <f t="shared" si="252"/>
        <v>15.5</v>
      </c>
      <c r="E536" s="204">
        <f t="shared" si="253"/>
        <v>0</v>
      </c>
      <c r="F536" s="205"/>
      <c r="G536" s="205"/>
      <c r="H536" s="205"/>
      <c r="I536" s="204">
        <f t="shared" si="254"/>
        <v>15.5</v>
      </c>
      <c r="J536" s="212">
        <v>15.5</v>
      </c>
      <c r="K536" s="205"/>
      <c r="L536" s="205"/>
      <c r="M536" s="213" t="s">
        <v>712</v>
      </c>
      <c r="N536" s="176">
        <f t="shared" si="241"/>
        <v>15.5</v>
      </c>
    </row>
    <row r="537" ht="26.25" customHeight="1" spans="1:14">
      <c r="A537" s="198" t="s">
        <v>713</v>
      </c>
      <c r="B537" s="199" t="s">
        <v>714</v>
      </c>
      <c r="C537" s="199"/>
      <c r="D537" s="200">
        <f t="shared" ref="D537:L537" si="256">D538</f>
        <v>13.2</v>
      </c>
      <c r="E537" s="200">
        <f t="shared" si="256"/>
        <v>0</v>
      </c>
      <c r="F537" s="200">
        <f t="shared" si="256"/>
        <v>0</v>
      </c>
      <c r="G537" s="200">
        <f t="shared" si="256"/>
        <v>0</v>
      </c>
      <c r="H537" s="200">
        <f t="shared" si="256"/>
        <v>0</v>
      </c>
      <c r="I537" s="200">
        <f t="shared" si="256"/>
        <v>13.2</v>
      </c>
      <c r="J537" s="200">
        <f t="shared" si="256"/>
        <v>13.2</v>
      </c>
      <c r="K537" s="200">
        <f t="shared" si="256"/>
        <v>0</v>
      </c>
      <c r="L537" s="200">
        <f t="shared" si="256"/>
        <v>0</v>
      </c>
      <c r="M537" s="211"/>
      <c r="N537" s="176">
        <f t="shared" si="241"/>
        <v>13.2</v>
      </c>
    </row>
    <row r="538" ht="26.25" customHeight="1" spans="1:14">
      <c r="A538" s="202"/>
      <c r="B538" s="203"/>
      <c r="C538" s="203" t="s">
        <v>514</v>
      </c>
      <c r="D538" s="200">
        <f t="shared" si="252"/>
        <v>13.2</v>
      </c>
      <c r="E538" s="204">
        <f t="shared" si="253"/>
        <v>0</v>
      </c>
      <c r="F538" s="205"/>
      <c r="G538" s="205"/>
      <c r="H538" s="205"/>
      <c r="I538" s="204">
        <f t="shared" si="254"/>
        <v>13.2</v>
      </c>
      <c r="J538" s="212">
        <v>13.2</v>
      </c>
      <c r="K538" s="205"/>
      <c r="L538" s="205"/>
      <c r="M538" s="213" t="s">
        <v>715</v>
      </c>
      <c r="N538" s="176">
        <f t="shared" si="241"/>
        <v>13.2</v>
      </c>
    </row>
    <row r="539" ht="26.25" customHeight="1" spans="1:14">
      <c r="A539" s="198" t="s">
        <v>716</v>
      </c>
      <c r="B539" s="199" t="s">
        <v>717</v>
      </c>
      <c r="C539" s="199"/>
      <c r="D539" s="200">
        <f t="shared" ref="D539:L539" si="257">D540</f>
        <v>227.38</v>
      </c>
      <c r="E539" s="200">
        <f t="shared" si="257"/>
        <v>0</v>
      </c>
      <c r="F539" s="200">
        <f t="shared" si="257"/>
        <v>0</v>
      </c>
      <c r="G539" s="200">
        <f t="shared" si="257"/>
        <v>0</v>
      </c>
      <c r="H539" s="200">
        <f t="shared" si="257"/>
        <v>0</v>
      </c>
      <c r="I539" s="200">
        <f t="shared" si="257"/>
        <v>227.38</v>
      </c>
      <c r="J539" s="200">
        <f t="shared" si="257"/>
        <v>29</v>
      </c>
      <c r="K539" s="200">
        <f t="shared" si="257"/>
        <v>198.38</v>
      </c>
      <c r="L539" s="200">
        <f t="shared" si="257"/>
        <v>0</v>
      </c>
      <c r="M539" s="211"/>
      <c r="N539" s="176">
        <f t="shared" si="241"/>
        <v>29</v>
      </c>
    </row>
    <row r="540" ht="42" customHeight="1" spans="1:14">
      <c r="A540" s="202"/>
      <c r="B540" s="203"/>
      <c r="C540" s="203" t="s">
        <v>514</v>
      </c>
      <c r="D540" s="200">
        <f t="shared" ref="D540:D545" si="258">E540+I540</f>
        <v>227.38</v>
      </c>
      <c r="E540" s="204">
        <f t="shared" ref="E540:E545" si="259">SUM(F540:H540)</f>
        <v>0</v>
      </c>
      <c r="F540" s="205"/>
      <c r="G540" s="205"/>
      <c r="H540" s="205"/>
      <c r="I540" s="204">
        <f t="shared" ref="I540:I545" si="260">SUM(J540:L540)</f>
        <v>227.38</v>
      </c>
      <c r="J540" s="212">
        <v>29</v>
      </c>
      <c r="K540" s="205">
        <v>198.38</v>
      </c>
      <c r="L540" s="205"/>
      <c r="M540" s="213" t="s">
        <v>718</v>
      </c>
      <c r="N540" s="176">
        <f t="shared" si="241"/>
        <v>29</v>
      </c>
    </row>
    <row r="541" ht="26.25" customHeight="1" spans="1:14">
      <c r="A541" s="198" t="s">
        <v>719</v>
      </c>
      <c r="B541" s="199" t="s">
        <v>720</v>
      </c>
      <c r="C541" s="199"/>
      <c r="D541" s="200">
        <f t="shared" ref="D541:L541" si="261">D542+D544+D546+D548+D550+D552</f>
        <v>959.092024</v>
      </c>
      <c r="E541" s="200">
        <f t="shared" si="261"/>
        <v>575.362024</v>
      </c>
      <c r="F541" s="200">
        <f t="shared" si="261"/>
        <v>474.317764</v>
      </c>
      <c r="G541" s="200">
        <f t="shared" si="261"/>
        <v>77.016</v>
      </c>
      <c r="H541" s="200">
        <f t="shared" si="261"/>
        <v>24.02826</v>
      </c>
      <c r="I541" s="200">
        <f t="shared" si="261"/>
        <v>383.73</v>
      </c>
      <c r="J541" s="200">
        <f t="shared" si="261"/>
        <v>96.7</v>
      </c>
      <c r="K541" s="200">
        <f t="shared" si="261"/>
        <v>287.03</v>
      </c>
      <c r="L541" s="200">
        <f t="shared" si="261"/>
        <v>0</v>
      </c>
      <c r="M541" s="211"/>
      <c r="N541" s="176">
        <f t="shared" si="241"/>
        <v>672.062024</v>
      </c>
    </row>
    <row r="542" ht="26.25" customHeight="1" spans="1:14">
      <c r="A542" s="198" t="s">
        <v>721</v>
      </c>
      <c r="B542" s="199" t="s">
        <v>295</v>
      </c>
      <c r="C542" s="199"/>
      <c r="D542" s="200">
        <f t="shared" ref="D542:L542" si="262">D543</f>
        <v>595.762024</v>
      </c>
      <c r="E542" s="200">
        <f t="shared" si="262"/>
        <v>575.362024</v>
      </c>
      <c r="F542" s="200">
        <f t="shared" si="262"/>
        <v>474.317764</v>
      </c>
      <c r="G542" s="200">
        <f t="shared" si="262"/>
        <v>77.016</v>
      </c>
      <c r="H542" s="200">
        <f t="shared" si="262"/>
        <v>24.02826</v>
      </c>
      <c r="I542" s="200">
        <f t="shared" si="262"/>
        <v>20.4</v>
      </c>
      <c r="J542" s="200">
        <f t="shared" si="262"/>
        <v>20.4</v>
      </c>
      <c r="K542" s="200">
        <f t="shared" si="262"/>
        <v>0</v>
      </c>
      <c r="L542" s="200">
        <f t="shared" si="262"/>
        <v>0</v>
      </c>
      <c r="M542" s="211"/>
      <c r="N542" s="176">
        <f t="shared" si="241"/>
        <v>595.762024</v>
      </c>
    </row>
    <row r="543" ht="33" customHeight="1" spans="1:14">
      <c r="A543" s="202"/>
      <c r="B543" s="203"/>
      <c r="C543" s="203" t="s">
        <v>515</v>
      </c>
      <c r="D543" s="200">
        <f t="shared" si="258"/>
        <v>595.762024</v>
      </c>
      <c r="E543" s="204">
        <f t="shared" si="259"/>
        <v>575.362024</v>
      </c>
      <c r="F543" s="205">
        <v>474.317764</v>
      </c>
      <c r="G543" s="205">
        <v>77.016</v>
      </c>
      <c r="H543" s="205">
        <v>24.02826</v>
      </c>
      <c r="I543" s="204">
        <f t="shared" si="260"/>
        <v>20.4</v>
      </c>
      <c r="J543" s="212">
        <v>20.4</v>
      </c>
      <c r="K543" s="205"/>
      <c r="L543" s="205"/>
      <c r="M543" s="213" t="s">
        <v>722</v>
      </c>
      <c r="N543" s="176">
        <f t="shared" si="241"/>
        <v>595.762024</v>
      </c>
    </row>
    <row r="544" ht="26.25" customHeight="1" spans="1:14">
      <c r="A544" s="198" t="s">
        <v>723</v>
      </c>
      <c r="B544" s="199" t="s">
        <v>382</v>
      </c>
      <c r="C544" s="199"/>
      <c r="D544" s="200">
        <f t="shared" ref="D544:L544" si="263">D545</f>
        <v>3</v>
      </c>
      <c r="E544" s="200">
        <f t="shared" si="263"/>
        <v>0</v>
      </c>
      <c r="F544" s="200">
        <f t="shared" si="263"/>
        <v>0</v>
      </c>
      <c r="G544" s="200">
        <f t="shared" si="263"/>
        <v>0</v>
      </c>
      <c r="H544" s="200">
        <f t="shared" si="263"/>
        <v>0</v>
      </c>
      <c r="I544" s="200">
        <f t="shared" si="263"/>
        <v>3</v>
      </c>
      <c r="J544" s="200">
        <f t="shared" si="263"/>
        <v>3</v>
      </c>
      <c r="K544" s="200">
        <f t="shared" si="263"/>
        <v>0</v>
      </c>
      <c r="L544" s="200">
        <f t="shared" si="263"/>
        <v>0</v>
      </c>
      <c r="M544" s="211"/>
      <c r="N544" s="176">
        <f t="shared" si="241"/>
        <v>3</v>
      </c>
    </row>
    <row r="545" ht="22" customHeight="1" spans="1:14">
      <c r="A545" s="202"/>
      <c r="B545" s="203"/>
      <c r="C545" s="203" t="s">
        <v>515</v>
      </c>
      <c r="D545" s="200">
        <f t="shared" si="258"/>
        <v>3</v>
      </c>
      <c r="E545" s="204">
        <f t="shared" si="259"/>
        <v>0</v>
      </c>
      <c r="F545" s="205"/>
      <c r="G545" s="205"/>
      <c r="H545" s="205"/>
      <c r="I545" s="204">
        <f t="shared" si="260"/>
        <v>3</v>
      </c>
      <c r="J545" s="212">
        <v>3</v>
      </c>
      <c r="K545" s="205"/>
      <c r="L545" s="205"/>
      <c r="M545" s="213" t="s">
        <v>724</v>
      </c>
      <c r="N545" s="176">
        <f t="shared" si="241"/>
        <v>3</v>
      </c>
    </row>
    <row r="546" ht="26.25" customHeight="1" spans="1:14">
      <c r="A546" s="198" t="s">
        <v>725</v>
      </c>
      <c r="B546" s="199" t="s">
        <v>726</v>
      </c>
      <c r="C546" s="199"/>
      <c r="D546" s="200">
        <f t="shared" ref="D546:L546" si="264">D547</f>
        <v>56.35</v>
      </c>
      <c r="E546" s="200">
        <f t="shared" si="264"/>
        <v>0</v>
      </c>
      <c r="F546" s="200">
        <f t="shared" si="264"/>
        <v>0</v>
      </c>
      <c r="G546" s="200">
        <f t="shared" si="264"/>
        <v>0</v>
      </c>
      <c r="H546" s="200">
        <f t="shared" si="264"/>
        <v>0</v>
      </c>
      <c r="I546" s="200">
        <f t="shared" si="264"/>
        <v>56.35</v>
      </c>
      <c r="J546" s="200">
        <f t="shared" si="264"/>
        <v>49</v>
      </c>
      <c r="K546" s="200">
        <f t="shared" si="264"/>
        <v>7.35</v>
      </c>
      <c r="L546" s="200">
        <f t="shared" si="264"/>
        <v>0</v>
      </c>
      <c r="M546" s="211"/>
      <c r="N546" s="176">
        <f t="shared" si="241"/>
        <v>49</v>
      </c>
    </row>
    <row r="547" ht="45" customHeight="1" spans="1:14">
      <c r="A547" s="202"/>
      <c r="B547" s="203"/>
      <c r="C547" s="203" t="s">
        <v>515</v>
      </c>
      <c r="D547" s="200">
        <f t="shared" ref="D547:D551" si="265">E547+I547</f>
        <v>56.35</v>
      </c>
      <c r="E547" s="204">
        <f t="shared" ref="E547:E551" si="266">SUM(F547:H547)</f>
        <v>0</v>
      </c>
      <c r="F547" s="205"/>
      <c r="G547" s="205"/>
      <c r="H547" s="205"/>
      <c r="I547" s="204">
        <f t="shared" ref="I547:I551" si="267">SUM(J547:L547)</f>
        <v>56.35</v>
      </c>
      <c r="J547" s="212">
        <v>49</v>
      </c>
      <c r="K547" s="205">
        <v>7.35</v>
      </c>
      <c r="L547" s="205"/>
      <c r="M547" s="213" t="s">
        <v>727</v>
      </c>
      <c r="N547" s="176">
        <f t="shared" si="241"/>
        <v>49</v>
      </c>
    </row>
    <row r="548" ht="26.25" customHeight="1" spans="1:14">
      <c r="A548" s="198" t="s">
        <v>728</v>
      </c>
      <c r="B548" s="199" t="s">
        <v>729</v>
      </c>
      <c r="C548" s="199"/>
      <c r="D548" s="200">
        <f t="shared" ref="D548:L548" si="268">D549</f>
        <v>13.35</v>
      </c>
      <c r="E548" s="200">
        <f t="shared" si="268"/>
        <v>0</v>
      </c>
      <c r="F548" s="200">
        <f t="shared" si="268"/>
        <v>0</v>
      </c>
      <c r="G548" s="200">
        <f t="shared" si="268"/>
        <v>0</v>
      </c>
      <c r="H548" s="200">
        <f t="shared" si="268"/>
        <v>0</v>
      </c>
      <c r="I548" s="200">
        <f t="shared" si="268"/>
        <v>13.35</v>
      </c>
      <c r="J548" s="200">
        <f t="shared" si="268"/>
        <v>13.35</v>
      </c>
      <c r="K548" s="200">
        <f t="shared" si="268"/>
        <v>0</v>
      </c>
      <c r="L548" s="200">
        <f t="shared" si="268"/>
        <v>0</v>
      </c>
      <c r="M548" s="211"/>
      <c r="N548" s="176">
        <f t="shared" si="241"/>
        <v>13.35</v>
      </c>
    </row>
    <row r="549" ht="30" customHeight="1" spans="1:14">
      <c r="A549" s="202"/>
      <c r="B549" s="203"/>
      <c r="C549" s="203" t="s">
        <v>515</v>
      </c>
      <c r="D549" s="200">
        <f t="shared" si="265"/>
        <v>13.35</v>
      </c>
      <c r="E549" s="204">
        <f t="shared" si="266"/>
        <v>0</v>
      </c>
      <c r="F549" s="205"/>
      <c r="G549" s="205"/>
      <c r="H549" s="205"/>
      <c r="I549" s="204">
        <f t="shared" si="267"/>
        <v>13.35</v>
      </c>
      <c r="J549" s="212">
        <v>13.35</v>
      </c>
      <c r="K549" s="205"/>
      <c r="L549" s="205"/>
      <c r="M549" s="213" t="s">
        <v>730</v>
      </c>
      <c r="N549" s="176">
        <f t="shared" si="241"/>
        <v>13.35</v>
      </c>
    </row>
    <row r="550" ht="26.25" customHeight="1" spans="1:14">
      <c r="A550" s="198" t="s">
        <v>731</v>
      </c>
      <c r="B550" s="199" t="s">
        <v>732</v>
      </c>
      <c r="C550" s="199"/>
      <c r="D550" s="200">
        <f t="shared" ref="D550:L550" si="269">D551</f>
        <v>1</v>
      </c>
      <c r="E550" s="200">
        <f t="shared" si="269"/>
        <v>0</v>
      </c>
      <c r="F550" s="200">
        <f t="shared" si="269"/>
        <v>0</v>
      </c>
      <c r="G550" s="200">
        <f t="shared" si="269"/>
        <v>0</v>
      </c>
      <c r="H550" s="200">
        <f t="shared" si="269"/>
        <v>0</v>
      </c>
      <c r="I550" s="200">
        <f t="shared" si="269"/>
        <v>1</v>
      </c>
      <c r="J550" s="200">
        <f t="shared" si="269"/>
        <v>1</v>
      </c>
      <c r="K550" s="200">
        <f t="shared" si="269"/>
        <v>0</v>
      </c>
      <c r="L550" s="200">
        <f t="shared" si="269"/>
        <v>0</v>
      </c>
      <c r="M550" s="211"/>
      <c r="N550" s="176">
        <f t="shared" si="241"/>
        <v>1</v>
      </c>
    </row>
    <row r="551" ht="26" customHeight="1" spans="1:14">
      <c r="A551" s="202"/>
      <c r="B551" s="203"/>
      <c r="C551" s="203" t="s">
        <v>515</v>
      </c>
      <c r="D551" s="200">
        <f t="shared" si="265"/>
        <v>1</v>
      </c>
      <c r="E551" s="204">
        <f t="shared" si="266"/>
        <v>0</v>
      </c>
      <c r="F551" s="205"/>
      <c r="G551" s="205"/>
      <c r="H551" s="205"/>
      <c r="I551" s="204">
        <f t="shared" si="267"/>
        <v>1</v>
      </c>
      <c r="J551" s="212">
        <v>1</v>
      </c>
      <c r="K551" s="205"/>
      <c r="L551" s="205"/>
      <c r="M551" s="213" t="s">
        <v>733</v>
      </c>
      <c r="N551" s="176">
        <f t="shared" si="241"/>
        <v>1</v>
      </c>
    </row>
    <row r="552" ht="26.25" customHeight="1" spans="1:14">
      <c r="A552" s="198" t="s">
        <v>734</v>
      </c>
      <c r="B552" s="199" t="s">
        <v>735</v>
      </c>
      <c r="C552" s="199"/>
      <c r="D552" s="200">
        <f t="shared" ref="D552:L552" si="270">SUM(D553:D554)</f>
        <v>289.63</v>
      </c>
      <c r="E552" s="200">
        <f t="shared" si="270"/>
        <v>0</v>
      </c>
      <c r="F552" s="200">
        <f t="shared" si="270"/>
        <v>0</v>
      </c>
      <c r="G552" s="200">
        <f t="shared" si="270"/>
        <v>0</v>
      </c>
      <c r="H552" s="200">
        <f t="shared" si="270"/>
        <v>0</v>
      </c>
      <c r="I552" s="200">
        <f t="shared" si="270"/>
        <v>289.63</v>
      </c>
      <c r="J552" s="200">
        <f t="shared" si="270"/>
        <v>9.95</v>
      </c>
      <c r="K552" s="200">
        <f t="shared" si="270"/>
        <v>279.68</v>
      </c>
      <c r="L552" s="200">
        <f t="shared" si="270"/>
        <v>0</v>
      </c>
      <c r="M552" s="211"/>
      <c r="N552" s="176">
        <f t="shared" si="241"/>
        <v>9.95</v>
      </c>
    </row>
    <row r="553" ht="26.25" customHeight="1" spans="1:14">
      <c r="A553" s="202"/>
      <c r="B553" s="203"/>
      <c r="C553" s="203" t="s">
        <v>511</v>
      </c>
      <c r="D553" s="200">
        <f t="shared" ref="D553:D557" si="271">E553+I553</f>
        <v>288.68</v>
      </c>
      <c r="E553" s="204">
        <f t="shared" ref="E553:E557" si="272">SUM(F553:H553)</f>
        <v>0</v>
      </c>
      <c r="F553" s="205"/>
      <c r="G553" s="205"/>
      <c r="H553" s="205"/>
      <c r="I553" s="204">
        <f t="shared" ref="I553:I557" si="273">SUM(J553:L553)</f>
        <v>288.68</v>
      </c>
      <c r="J553" s="212">
        <v>9</v>
      </c>
      <c r="K553" s="205">
        <v>279.68</v>
      </c>
      <c r="L553" s="205"/>
      <c r="M553" s="213" t="s">
        <v>736</v>
      </c>
      <c r="N553" s="176">
        <f t="shared" si="241"/>
        <v>9</v>
      </c>
    </row>
    <row r="554" ht="33" customHeight="1" spans="1:14">
      <c r="A554" s="202"/>
      <c r="B554" s="203"/>
      <c r="C554" s="203" t="s">
        <v>515</v>
      </c>
      <c r="D554" s="200">
        <f t="shared" si="271"/>
        <v>0.95</v>
      </c>
      <c r="E554" s="204">
        <f t="shared" si="272"/>
        <v>0</v>
      </c>
      <c r="F554" s="205"/>
      <c r="G554" s="205"/>
      <c r="H554" s="205"/>
      <c r="I554" s="204">
        <f t="shared" si="273"/>
        <v>0.95</v>
      </c>
      <c r="J554" s="212">
        <v>0.95</v>
      </c>
      <c r="K554" s="205"/>
      <c r="L554" s="205"/>
      <c r="M554" s="213" t="s">
        <v>737</v>
      </c>
      <c r="N554" s="176">
        <f t="shared" si="241"/>
        <v>0.95</v>
      </c>
    </row>
    <row r="555" ht="26.25" customHeight="1" spans="1:14">
      <c r="A555" s="198" t="s">
        <v>738</v>
      </c>
      <c r="B555" s="199" t="s">
        <v>739</v>
      </c>
      <c r="C555" s="199"/>
      <c r="D555" s="200">
        <f t="shared" ref="D555:L555" si="274">D556</f>
        <v>174</v>
      </c>
      <c r="E555" s="200">
        <f t="shared" si="274"/>
        <v>0</v>
      </c>
      <c r="F555" s="200">
        <f t="shared" si="274"/>
        <v>0</v>
      </c>
      <c r="G555" s="200">
        <f t="shared" si="274"/>
        <v>0</v>
      </c>
      <c r="H555" s="200">
        <f t="shared" si="274"/>
        <v>0</v>
      </c>
      <c r="I555" s="200">
        <f t="shared" si="274"/>
        <v>174</v>
      </c>
      <c r="J555" s="200">
        <f t="shared" si="274"/>
        <v>174</v>
      </c>
      <c r="K555" s="200">
        <f t="shared" si="274"/>
        <v>0</v>
      </c>
      <c r="L555" s="200">
        <f t="shared" si="274"/>
        <v>0</v>
      </c>
      <c r="M555" s="211"/>
      <c r="N555" s="176">
        <f t="shared" si="241"/>
        <v>174</v>
      </c>
    </row>
    <row r="556" ht="26.25" customHeight="1" spans="1:14">
      <c r="A556" s="198" t="s">
        <v>740</v>
      </c>
      <c r="B556" s="199" t="s">
        <v>741</v>
      </c>
      <c r="C556" s="199"/>
      <c r="D556" s="200">
        <f t="shared" ref="D556:L556" si="275">D557</f>
        <v>174</v>
      </c>
      <c r="E556" s="200">
        <f t="shared" si="275"/>
        <v>0</v>
      </c>
      <c r="F556" s="200">
        <f t="shared" si="275"/>
        <v>0</v>
      </c>
      <c r="G556" s="200">
        <f t="shared" si="275"/>
        <v>0</v>
      </c>
      <c r="H556" s="200">
        <f t="shared" si="275"/>
        <v>0</v>
      </c>
      <c r="I556" s="200">
        <f t="shared" si="275"/>
        <v>174</v>
      </c>
      <c r="J556" s="200">
        <f t="shared" si="275"/>
        <v>174</v>
      </c>
      <c r="K556" s="200">
        <f t="shared" si="275"/>
        <v>0</v>
      </c>
      <c r="L556" s="200">
        <f t="shared" si="275"/>
        <v>0</v>
      </c>
      <c r="M556" s="211"/>
      <c r="N556" s="176">
        <f t="shared" si="241"/>
        <v>174</v>
      </c>
    </row>
    <row r="557" ht="26.25" customHeight="1" spans="1:14">
      <c r="A557" s="198"/>
      <c r="B557" s="199"/>
      <c r="C557" s="203" t="s">
        <v>742</v>
      </c>
      <c r="D557" s="200">
        <f t="shared" si="271"/>
        <v>174</v>
      </c>
      <c r="E557" s="204">
        <f t="shared" si="272"/>
        <v>0</v>
      </c>
      <c r="F557" s="205"/>
      <c r="G557" s="205"/>
      <c r="H557" s="205"/>
      <c r="I557" s="204">
        <f t="shared" si="273"/>
        <v>174</v>
      </c>
      <c r="J557" s="212">
        <v>174</v>
      </c>
      <c r="K557" s="205"/>
      <c r="L557" s="205"/>
      <c r="M557" s="213" t="s">
        <v>743</v>
      </c>
      <c r="N557" s="176">
        <f t="shared" si="241"/>
        <v>174</v>
      </c>
    </row>
    <row r="558" ht="26.25" customHeight="1" spans="1:14">
      <c r="A558" s="217">
        <v>20408</v>
      </c>
      <c r="B558" s="199" t="s">
        <v>744</v>
      </c>
      <c r="C558" s="199"/>
      <c r="D558" s="200">
        <f>D559</f>
        <v>135</v>
      </c>
      <c r="E558" s="200"/>
      <c r="F558" s="200"/>
      <c r="G558" s="200"/>
      <c r="H558" s="200"/>
      <c r="I558" s="200">
        <f>I559</f>
        <v>135</v>
      </c>
      <c r="J558" s="200"/>
      <c r="K558" s="200">
        <f>K559</f>
        <v>135</v>
      </c>
      <c r="L558" s="200"/>
      <c r="M558" s="211"/>
      <c r="N558" s="176">
        <f t="shared" si="241"/>
        <v>0</v>
      </c>
    </row>
    <row r="559" ht="26.25" customHeight="1" spans="1:14">
      <c r="A559" s="198">
        <v>2040806</v>
      </c>
      <c r="B559" s="199" t="s">
        <v>745</v>
      </c>
      <c r="C559" s="199"/>
      <c r="D559" s="200">
        <f>D560</f>
        <v>135</v>
      </c>
      <c r="E559" s="200"/>
      <c r="F559" s="200"/>
      <c r="G559" s="200"/>
      <c r="H559" s="200"/>
      <c r="I559" s="200">
        <f>I560</f>
        <v>135</v>
      </c>
      <c r="J559" s="200"/>
      <c r="K559" s="200">
        <f>K560</f>
        <v>135</v>
      </c>
      <c r="L559" s="200"/>
      <c r="M559" s="211"/>
      <c r="N559" s="176">
        <f t="shared" si="241"/>
        <v>0</v>
      </c>
    </row>
    <row r="560" ht="26.25" customHeight="1" spans="1:14">
      <c r="A560" s="198"/>
      <c r="B560" s="199"/>
      <c r="C560" s="203" t="s">
        <v>512</v>
      </c>
      <c r="D560" s="200">
        <f>E560+I560</f>
        <v>135</v>
      </c>
      <c r="E560" s="204"/>
      <c r="F560" s="205"/>
      <c r="G560" s="205"/>
      <c r="H560" s="205"/>
      <c r="I560" s="204">
        <f>SUM(J560:L560)</f>
        <v>135</v>
      </c>
      <c r="J560" s="212"/>
      <c r="K560" s="212">
        <v>135</v>
      </c>
      <c r="L560" s="205"/>
      <c r="M560" s="213"/>
      <c r="N560" s="176">
        <f t="shared" si="241"/>
        <v>0</v>
      </c>
    </row>
    <row r="561" ht="26.25" customHeight="1" spans="1:17">
      <c r="A561" s="198" t="s">
        <v>746</v>
      </c>
      <c r="B561" s="199" t="s">
        <v>747</v>
      </c>
      <c r="C561" s="199"/>
      <c r="D561" s="200">
        <f t="shared" ref="D561:L561" si="276">SUM(D562,D567,D629,D635,D638,D642)</f>
        <v>56632.178933</v>
      </c>
      <c r="E561" s="200">
        <f t="shared" si="276"/>
        <v>33282.045883</v>
      </c>
      <c r="F561" s="200">
        <f t="shared" si="276"/>
        <v>31816.247467</v>
      </c>
      <c r="G561" s="200">
        <f t="shared" si="276"/>
        <v>30.6906</v>
      </c>
      <c r="H561" s="200">
        <f t="shared" si="276"/>
        <v>1435.107816</v>
      </c>
      <c r="I561" s="200">
        <f t="shared" si="276"/>
        <v>23350.13305</v>
      </c>
      <c r="J561" s="200">
        <f t="shared" si="276"/>
        <v>6388.77315</v>
      </c>
      <c r="K561" s="200">
        <f t="shared" si="276"/>
        <v>4508.2999</v>
      </c>
      <c r="L561" s="200">
        <f t="shared" si="276"/>
        <v>12453.06</v>
      </c>
      <c r="M561" s="211"/>
      <c r="N561" s="176">
        <f t="shared" si="241"/>
        <v>39670.819033</v>
      </c>
      <c r="Q561" s="176">
        <f>J561+E561</f>
        <v>39670.819033</v>
      </c>
    </row>
    <row r="562" ht="26.25" customHeight="1" spans="1:14">
      <c r="A562" s="198" t="s">
        <v>748</v>
      </c>
      <c r="B562" s="199" t="s">
        <v>749</v>
      </c>
      <c r="C562" s="199"/>
      <c r="D562" s="200">
        <f t="shared" ref="D562:L562" si="277">D563+D565</f>
        <v>735.664193</v>
      </c>
      <c r="E562" s="200">
        <f t="shared" si="277"/>
        <v>631.384193</v>
      </c>
      <c r="F562" s="200">
        <f t="shared" si="277"/>
        <v>577.177385</v>
      </c>
      <c r="G562" s="200">
        <f t="shared" si="277"/>
        <v>21.42</v>
      </c>
      <c r="H562" s="200">
        <f t="shared" si="277"/>
        <v>32.786808</v>
      </c>
      <c r="I562" s="200">
        <f t="shared" si="277"/>
        <v>104.28</v>
      </c>
      <c r="J562" s="200">
        <f t="shared" si="277"/>
        <v>104.28</v>
      </c>
      <c r="K562" s="200">
        <f t="shared" si="277"/>
        <v>0</v>
      </c>
      <c r="L562" s="200">
        <f t="shared" si="277"/>
        <v>0</v>
      </c>
      <c r="M562" s="211"/>
      <c r="N562" s="176">
        <f t="shared" si="241"/>
        <v>735.664193</v>
      </c>
    </row>
    <row r="563" ht="26.25" customHeight="1" spans="1:14">
      <c r="A563" s="198" t="s">
        <v>750</v>
      </c>
      <c r="B563" s="199" t="s">
        <v>295</v>
      </c>
      <c r="C563" s="199"/>
      <c r="D563" s="200">
        <f t="shared" ref="D563:L563" si="278">D564</f>
        <v>0.3</v>
      </c>
      <c r="E563" s="200">
        <f t="shared" si="278"/>
        <v>0.3</v>
      </c>
      <c r="F563" s="200">
        <f t="shared" si="278"/>
        <v>0.3</v>
      </c>
      <c r="G563" s="200">
        <f t="shared" si="278"/>
        <v>0</v>
      </c>
      <c r="H563" s="200">
        <f t="shared" si="278"/>
        <v>0</v>
      </c>
      <c r="I563" s="200">
        <f t="shared" si="278"/>
        <v>0</v>
      </c>
      <c r="J563" s="200">
        <f t="shared" si="278"/>
        <v>0</v>
      </c>
      <c r="K563" s="200">
        <f t="shared" si="278"/>
        <v>0</v>
      </c>
      <c r="L563" s="200">
        <f t="shared" si="278"/>
        <v>0</v>
      </c>
      <c r="M563" s="211"/>
      <c r="N563" s="176">
        <f t="shared" si="241"/>
        <v>0.3</v>
      </c>
    </row>
    <row r="564" ht="26.25" customHeight="1" spans="1:14">
      <c r="A564" s="202"/>
      <c r="B564" s="203"/>
      <c r="C564" s="203" t="s">
        <v>526</v>
      </c>
      <c r="D564" s="200">
        <f t="shared" ref="D564:D586" si="279">E564+I564</f>
        <v>0.3</v>
      </c>
      <c r="E564" s="204">
        <f t="shared" ref="E564:E621" si="280">SUM(F564:H564)</f>
        <v>0.3</v>
      </c>
      <c r="F564" s="205">
        <v>0.3</v>
      </c>
      <c r="G564" s="205"/>
      <c r="H564" s="205"/>
      <c r="I564" s="204">
        <f t="shared" ref="I564:I621" si="281">SUM(J564:L564)</f>
        <v>0</v>
      </c>
      <c r="J564" s="212"/>
      <c r="K564" s="205"/>
      <c r="L564" s="205"/>
      <c r="M564" s="213"/>
      <c r="N564" s="176">
        <f t="shared" si="241"/>
        <v>0.3</v>
      </c>
    </row>
    <row r="565" ht="26.25" customHeight="1" spans="1:14">
      <c r="A565" s="198" t="s">
        <v>751</v>
      </c>
      <c r="B565" s="199" t="s">
        <v>752</v>
      </c>
      <c r="C565" s="199"/>
      <c r="D565" s="200">
        <f t="shared" ref="D565:L565" si="282">D566</f>
        <v>735.364193</v>
      </c>
      <c r="E565" s="200">
        <f t="shared" si="282"/>
        <v>631.084193</v>
      </c>
      <c r="F565" s="200">
        <f t="shared" si="282"/>
        <v>576.877385</v>
      </c>
      <c r="G565" s="200">
        <f t="shared" si="282"/>
        <v>21.42</v>
      </c>
      <c r="H565" s="200">
        <f t="shared" si="282"/>
        <v>32.786808</v>
      </c>
      <c r="I565" s="200">
        <f t="shared" si="282"/>
        <v>104.28</v>
      </c>
      <c r="J565" s="200">
        <f t="shared" si="282"/>
        <v>104.28</v>
      </c>
      <c r="K565" s="200">
        <f t="shared" si="282"/>
        <v>0</v>
      </c>
      <c r="L565" s="200">
        <f t="shared" si="282"/>
        <v>0</v>
      </c>
      <c r="M565" s="211"/>
      <c r="N565" s="176">
        <f t="shared" si="241"/>
        <v>735.364193</v>
      </c>
    </row>
    <row r="566" ht="204" customHeight="1" spans="1:14">
      <c r="A566" s="202"/>
      <c r="B566" s="203"/>
      <c r="C566" s="203" t="s">
        <v>526</v>
      </c>
      <c r="D566" s="200">
        <f t="shared" si="279"/>
        <v>735.364193</v>
      </c>
      <c r="E566" s="204">
        <f t="shared" si="280"/>
        <v>631.084193</v>
      </c>
      <c r="F566" s="205">
        <v>576.877385</v>
      </c>
      <c r="G566" s="205">
        <v>21.42</v>
      </c>
      <c r="H566" s="205">
        <v>32.786808</v>
      </c>
      <c r="I566" s="204">
        <f t="shared" si="281"/>
        <v>104.28</v>
      </c>
      <c r="J566" s="212">
        <v>104.28</v>
      </c>
      <c r="K566" s="205"/>
      <c r="L566" s="205"/>
      <c r="M566" s="213" t="s">
        <v>753</v>
      </c>
      <c r="N566" s="176">
        <f t="shared" si="241"/>
        <v>735.364193</v>
      </c>
    </row>
    <row r="567" ht="26.25" customHeight="1" spans="1:17">
      <c r="A567" s="198" t="s">
        <v>754</v>
      </c>
      <c r="B567" s="199" t="s">
        <v>755</v>
      </c>
      <c r="C567" s="199"/>
      <c r="D567" s="200">
        <f t="shared" ref="D567:L567" si="283">SUM(D568,D587,D607,D622,D627)</f>
        <v>43486.977906</v>
      </c>
      <c r="E567" s="200">
        <f t="shared" si="283"/>
        <v>31742.403156</v>
      </c>
      <c r="F567" s="200">
        <f t="shared" si="283"/>
        <v>30386.561472</v>
      </c>
      <c r="G567" s="200">
        <f t="shared" si="283"/>
        <v>0</v>
      </c>
      <c r="H567" s="200">
        <f t="shared" si="283"/>
        <v>1355.841684</v>
      </c>
      <c r="I567" s="200">
        <f t="shared" si="283"/>
        <v>11744.57475</v>
      </c>
      <c r="J567" s="200">
        <f t="shared" si="283"/>
        <v>5272.12715</v>
      </c>
      <c r="K567" s="200">
        <f t="shared" si="283"/>
        <v>4464.2876</v>
      </c>
      <c r="L567" s="200">
        <f t="shared" si="283"/>
        <v>2008.16</v>
      </c>
      <c r="M567" s="211"/>
      <c r="N567" s="176">
        <f t="shared" si="241"/>
        <v>37014.530306</v>
      </c>
      <c r="Q567" s="176">
        <f>J567+E567</f>
        <v>37014.530306</v>
      </c>
    </row>
    <row r="568" ht="26.25" customHeight="1" spans="1:14">
      <c r="A568" s="198" t="s">
        <v>756</v>
      </c>
      <c r="B568" s="199" t="s">
        <v>757</v>
      </c>
      <c r="C568" s="199"/>
      <c r="D568" s="200">
        <f t="shared" ref="D568:L568" si="284">SUM(D569:D586)</f>
        <v>4107.240718</v>
      </c>
      <c r="E568" s="200">
        <f t="shared" si="284"/>
        <v>845.410718</v>
      </c>
      <c r="F568" s="200">
        <f t="shared" si="284"/>
        <v>826.015118</v>
      </c>
      <c r="G568" s="200">
        <f t="shared" si="284"/>
        <v>0</v>
      </c>
      <c r="H568" s="200">
        <f t="shared" si="284"/>
        <v>19.3956</v>
      </c>
      <c r="I568" s="200">
        <f t="shared" si="284"/>
        <v>3261.83</v>
      </c>
      <c r="J568" s="200">
        <f t="shared" si="284"/>
        <v>2502.28</v>
      </c>
      <c r="K568" s="200">
        <f t="shared" si="284"/>
        <v>0</v>
      </c>
      <c r="L568" s="200">
        <f t="shared" si="284"/>
        <v>759.55</v>
      </c>
      <c r="M568" s="211"/>
      <c r="N568" s="176">
        <f t="shared" si="241"/>
        <v>3347.690718</v>
      </c>
    </row>
    <row r="569" ht="41" customHeight="1" spans="1:14">
      <c r="A569" s="202"/>
      <c r="B569" s="203"/>
      <c r="C569" s="203"/>
      <c r="D569" s="200">
        <f t="shared" si="279"/>
        <v>440.15</v>
      </c>
      <c r="E569" s="204">
        <f t="shared" si="280"/>
        <v>0</v>
      </c>
      <c r="F569" s="205"/>
      <c r="G569" s="205"/>
      <c r="H569" s="205"/>
      <c r="I569" s="204">
        <f t="shared" si="281"/>
        <v>440.15</v>
      </c>
      <c r="J569" s="212">
        <v>440.15</v>
      </c>
      <c r="K569" s="205"/>
      <c r="L569" s="205"/>
      <c r="M569" s="213" t="s">
        <v>758</v>
      </c>
      <c r="N569" s="176">
        <f t="shared" si="241"/>
        <v>440.15</v>
      </c>
    </row>
    <row r="570" ht="39" customHeight="1" spans="1:14">
      <c r="A570" s="202"/>
      <c r="B570" s="203"/>
      <c r="C570" s="203"/>
      <c r="D570" s="200">
        <f t="shared" si="279"/>
        <v>397.832437</v>
      </c>
      <c r="E570" s="204">
        <f t="shared" si="280"/>
        <v>238.232437</v>
      </c>
      <c r="F570" s="205">
        <v>218.872837</v>
      </c>
      <c r="G570" s="205"/>
      <c r="H570" s="205">
        <v>19.3596</v>
      </c>
      <c r="I570" s="204">
        <f t="shared" si="281"/>
        <v>159.6</v>
      </c>
      <c r="J570" s="212">
        <v>159.6</v>
      </c>
      <c r="K570" s="205"/>
      <c r="L570" s="205"/>
      <c r="M570" s="213" t="s">
        <v>759</v>
      </c>
      <c r="N570" s="176">
        <f t="shared" si="241"/>
        <v>397.832437</v>
      </c>
    </row>
    <row r="571" ht="39" customHeight="1" spans="1:14">
      <c r="A571" s="202"/>
      <c r="B571" s="203"/>
      <c r="C571" s="203"/>
      <c r="D571" s="200">
        <f t="shared" si="279"/>
        <v>312.165623</v>
      </c>
      <c r="E571" s="204">
        <f t="shared" si="280"/>
        <v>113.765623</v>
      </c>
      <c r="F571" s="205">
        <v>113.765623</v>
      </c>
      <c r="G571" s="205"/>
      <c r="H571" s="205"/>
      <c r="I571" s="204">
        <f t="shared" si="281"/>
        <v>198.4</v>
      </c>
      <c r="J571" s="212">
        <v>198.4</v>
      </c>
      <c r="K571" s="205"/>
      <c r="L571" s="205"/>
      <c r="M571" s="213" t="s">
        <v>760</v>
      </c>
      <c r="N571" s="176">
        <f t="shared" si="241"/>
        <v>312.165623</v>
      </c>
    </row>
    <row r="572" ht="39" customHeight="1" spans="1:14">
      <c r="A572" s="202"/>
      <c r="B572" s="203"/>
      <c r="C572" s="203"/>
      <c r="D572" s="200">
        <f t="shared" si="279"/>
        <v>179.925018</v>
      </c>
      <c r="E572" s="204">
        <f t="shared" si="280"/>
        <v>67.925018</v>
      </c>
      <c r="F572" s="205">
        <v>67.901018</v>
      </c>
      <c r="G572" s="205"/>
      <c r="H572" s="205">
        <v>0.024</v>
      </c>
      <c r="I572" s="204">
        <f t="shared" si="281"/>
        <v>112</v>
      </c>
      <c r="J572" s="212">
        <v>112</v>
      </c>
      <c r="K572" s="205"/>
      <c r="L572" s="205"/>
      <c r="M572" s="213" t="s">
        <v>761</v>
      </c>
      <c r="N572" s="176">
        <f t="shared" si="241"/>
        <v>179.925018</v>
      </c>
    </row>
    <row r="573" ht="39" customHeight="1" spans="1:14">
      <c r="A573" s="202"/>
      <c r="B573" s="203"/>
      <c r="C573" s="203"/>
      <c r="D573" s="200">
        <f t="shared" si="279"/>
        <v>116.361456</v>
      </c>
      <c r="E573" s="204">
        <f t="shared" si="280"/>
        <v>48.361456</v>
      </c>
      <c r="F573" s="205">
        <v>48.361456</v>
      </c>
      <c r="G573" s="205"/>
      <c r="H573" s="205"/>
      <c r="I573" s="204">
        <f t="shared" si="281"/>
        <v>68</v>
      </c>
      <c r="J573" s="212">
        <v>68</v>
      </c>
      <c r="K573" s="205"/>
      <c r="L573" s="205"/>
      <c r="M573" s="213" t="s">
        <v>762</v>
      </c>
      <c r="N573" s="176">
        <f t="shared" si="241"/>
        <v>116.361456</v>
      </c>
    </row>
    <row r="574" ht="34.05" customHeight="1" spans="1:14">
      <c r="A574" s="202"/>
      <c r="B574" s="203"/>
      <c r="C574" s="203"/>
      <c r="D574" s="200">
        <f t="shared" si="279"/>
        <v>295.469725</v>
      </c>
      <c r="E574" s="204">
        <f t="shared" si="280"/>
        <v>106.029725</v>
      </c>
      <c r="F574" s="205">
        <v>106.029725</v>
      </c>
      <c r="G574" s="205"/>
      <c r="H574" s="205"/>
      <c r="I574" s="204">
        <f t="shared" si="281"/>
        <v>189.44</v>
      </c>
      <c r="J574" s="212">
        <v>189.44</v>
      </c>
      <c r="K574" s="205"/>
      <c r="L574" s="205"/>
      <c r="M574" s="213" t="s">
        <v>763</v>
      </c>
      <c r="N574" s="176">
        <f t="shared" si="241"/>
        <v>295.469725</v>
      </c>
    </row>
    <row r="575" ht="34.05" customHeight="1" spans="1:14">
      <c r="A575" s="202"/>
      <c r="B575" s="203"/>
      <c r="C575" s="203"/>
      <c r="D575" s="200">
        <f t="shared" si="279"/>
        <v>85.767525</v>
      </c>
      <c r="E575" s="204">
        <f t="shared" si="280"/>
        <v>17.867525</v>
      </c>
      <c r="F575" s="205">
        <v>17.867525</v>
      </c>
      <c r="G575" s="205"/>
      <c r="H575" s="205"/>
      <c r="I575" s="204">
        <f t="shared" si="281"/>
        <v>67.9</v>
      </c>
      <c r="J575" s="212">
        <v>67.9</v>
      </c>
      <c r="K575" s="205"/>
      <c r="L575" s="205"/>
      <c r="M575" s="213" t="s">
        <v>764</v>
      </c>
      <c r="N575" s="176">
        <f t="shared" si="241"/>
        <v>85.767525</v>
      </c>
    </row>
    <row r="576" ht="34.05" customHeight="1" spans="1:14">
      <c r="A576" s="202"/>
      <c r="B576" s="203"/>
      <c r="C576" s="203"/>
      <c r="D576" s="200">
        <f t="shared" si="279"/>
        <v>113.662628</v>
      </c>
      <c r="E576" s="204">
        <f t="shared" si="280"/>
        <v>23.662628</v>
      </c>
      <c r="F576" s="205">
        <v>23.662628</v>
      </c>
      <c r="G576" s="205"/>
      <c r="H576" s="205"/>
      <c r="I576" s="204">
        <f t="shared" si="281"/>
        <v>90</v>
      </c>
      <c r="J576" s="212">
        <v>90</v>
      </c>
      <c r="K576" s="205"/>
      <c r="L576" s="205"/>
      <c r="M576" s="213" t="s">
        <v>765</v>
      </c>
      <c r="N576" s="176">
        <f t="shared" si="241"/>
        <v>113.662628</v>
      </c>
    </row>
    <row r="577" ht="34.05" customHeight="1" spans="1:14">
      <c r="A577" s="202"/>
      <c r="B577" s="203"/>
      <c r="C577" s="203"/>
      <c r="D577" s="200">
        <f t="shared" si="279"/>
        <v>76.09351</v>
      </c>
      <c r="E577" s="204">
        <f t="shared" si="280"/>
        <v>25.09351</v>
      </c>
      <c r="F577" s="205">
        <v>25.08751</v>
      </c>
      <c r="G577" s="205"/>
      <c r="H577" s="205">
        <v>0.006</v>
      </c>
      <c r="I577" s="204">
        <f t="shared" si="281"/>
        <v>51</v>
      </c>
      <c r="J577" s="212">
        <v>51</v>
      </c>
      <c r="K577" s="205"/>
      <c r="L577" s="205"/>
      <c r="M577" s="213" t="s">
        <v>766</v>
      </c>
      <c r="N577" s="176">
        <f t="shared" si="241"/>
        <v>76.09351</v>
      </c>
    </row>
    <row r="578" ht="34.05" customHeight="1" spans="1:14">
      <c r="A578" s="202"/>
      <c r="B578" s="203"/>
      <c r="C578" s="203"/>
      <c r="D578" s="200">
        <f t="shared" si="279"/>
        <v>181.825727</v>
      </c>
      <c r="E578" s="204">
        <f t="shared" si="280"/>
        <v>31.825727</v>
      </c>
      <c r="F578" s="205">
        <v>31.825727</v>
      </c>
      <c r="G578" s="205"/>
      <c r="H578" s="205"/>
      <c r="I578" s="204">
        <f t="shared" si="281"/>
        <v>150</v>
      </c>
      <c r="J578" s="212">
        <v>150</v>
      </c>
      <c r="K578" s="205"/>
      <c r="L578" s="205"/>
      <c r="M578" s="213" t="s">
        <v>767</v>
      </c>
      <c r="N578" s="176">
        <f t="shared" si="241"/>
        <v>181.825727</v>
      </c>
    </row>
    <row r="579" ht="34.05" customHeight="1" spans="1:14">
      <c r="A579" s="202"/>
      <c r="B579" s="203"/>
      <c r="C579" s="203"/>
      <c r="D579" s="200">
        <f t="shared" si="279"/>
        <v>71.782016</v>
      </c>
      <c r="E579" s="204">
        <f t="shared" si="280"/>
        <v>25.782016</v>
      </c>
      <c r="F579" s="205">
        <v>25.782016</v>
      </c>
      <c r="G579" s="205"/>
      <c r="H579" s="205"/>
      <c r="I579" s="204">
        <f t="shared" si="281"/>
        <v>46</v>
      </c>
      <c r="J579" s="212">
        <v>46</v>
      </c>
      <c r="K579" s="205"/>
      <c r="L579" s="205"/>
      <c r="M579" s="213" t="s">
        <v>768</v>
      </c>
      <c r="N579" s="176">
        <f t="shared" si="241"/>
        <v>71.782016</v>
      </c>
    </row>
    <row r="580" ht="34.05" customHeight="1" spans="1:14">
      <c r="A580" s="202"/>
      <c r="B580" s="203"/>
      <c r="C580" s="203"/>
      <c r="D580" s="200">
        <f t="shared" si="279"/>
        <v>129.691809</v>
      </c>
      <c r="E580" s="204">
        <f t="shared" si="280"/>
        <v>25.691809</v>
      </c>
      <c r="F580" s="205">
        <v>25.691809</v>
      </c>
      <c r="G580" s="205"/>
      <c r="H580" s="205"/>
      <c r="I580" s="204">
        <f t="shared" si="281"/>
        <v>104</v>
      </c>
      <c r="J580" s="212">
        <v>104</v>
      </c>
      <c r="K580" s="205"/>
      <c r="L580" s="205"/>
      <c r="M580" s="213" t="s">
        <v>769</v>
      </c>
      <c r="N580" s="176">
        <f t="shared" si="241"/>
        <v>129.691809</v>
      </c>
    </row>
    <row r="581" ht="34.05" customHeight="1" spans="1:14">
      <c r="A581" s="202"/>
      <c r="B581" s="203"/>
      <c r="C581" s="203"/>
      <c r="D581" s="200">
        <f t="shared" si="279"/>
        <v>137.846274</v>
      </c>
      <c r="E581" s="204">
        <f t="shared" si="280"/>
        <v>25.846274</v>
      </c>
      <c r="F581" s="205">
        <v>25.840274</v>
      </c>
      <c r="G581" s="205"/>
      <c r="H581" s="205">
        <v>0.006</v>
      </c>
      <c r="I581" s="204">
        <f t="shared" si="281"/>
        <v>112</v>
      </c>
      <c r="J581" s="212">
        <v>112</v>
      </c>
      <c r="K581" s="205"/>
      <c r="L581" s="205"/>
      <c r="M581" s="213" t="s">
        <v>770</v>
      </c>
      <c r="N581" s="176">
        <f t="shared" si="241"/>
        <v>137.846274</v>
      </c>
    </row>
    <row r="582" ht="34.05" customHeight="1" spans="1:14">
      <c r="A582" s="202"/>
      <c r="B582" s="203"/>
      <c r="C582" s="203"/>
      <c r="D582" s="200">
        <f t="shared" si="279"/>
        <v>124.549981</v>
      </c>
      <c r="E582" s="204">
        <f t="shared" si="280"/>
        <v>24.549981</v>
      </c>
      <c r="F582" s="205">
        <v>24.549981</v>
      </c>
      <c r="G582" s="205"/>
      <c r="H582" s="205"/>
      <c r="I582" s="204">
        <f t="shared" si="281"/>
        <v>100</v>
      </c>
      <c r="J582" s="212">
        <v>100</v>
      </c>
      <c r="K582" s="205"/>
      <c r="L582" s="205"/>
      <c r="M582" s="213" t="s">
        <v>771</v>
      </c>
      <c r="N582" s="176">
        <f t="shared" si="241"/>
        <v>124.549981</v>
      </c>
    </row>
    <row r="583" ht="34.05" customHeight="1" spans="1:14">
      <c r="A583" s="202"/>
      <c r="B583" s="203"/>
      <c r="C583" s="203"/>
      <c r="D583" s="200">
        <f t="shared" si="279"/>
        <v>273.773364</v>
      </c>
      <c r="E583" s="204">
        <f t="shared" si="280"/>
        <v>23.773364</v>
      </c>
      <c r="F583" s="205">
        <v>23.773364</v>
      </c>
      <c r="G583" s="205"/>
      <c r="H583" s="205"/>
      <c r="I583" s="204">
        <f t="shared" si="281"/>
        <v>250</v>
      </c>
      <c r="J583" s="212">
        <v>250</v>
      </c>
      <c r="K583" s="205"/>
      <c r="L583" s="205"/>
      <c r="M583" s="213" t="s">
        <v>772</v>
      </c>
      <c r="N583" s="176">
        <f t="shared" si="241"/>
        <v>273.773364</v>
      </c>
    </row>
    <row r="584" ht="34.05" customHeight="1" spans="1:14">
      <c r="A584" s="202"/>
      <c r="B584" s="203"/>
      <c r="C584" s="203"/>
      <c r="D584" s="200">
        <f t="shared" si="279"/>
        <v>201.145652</v>
      </c>
      <c r="E584" s="204">
        <f t="shared" si="280"/>
        <v>24.955652</v>
      </c>
      <c r="F584" s="205">
        <v>24.955652</v>
      </c>
      <c r="G584" s="205"/>
      <c r="H584" s="205"/>
      <c r="I584" s="204">
        <f t="shared" si="281"/>
        <v>176.19</v>
      </c>
      <c r="J584" s="212">
        <v>176.19</v>
      </c>
      <c r="K584" s="205"/>
      <c r="L584" s="205"/>
      <c r="M584" s="213" t="s">
        <v>773</v>
      </c>
      <c r="N584" s="176">
        <f t="shared" si="241"/>
        <v>201.145652</v>
      </c>
    </row>
    <row r="585" ht="34.05" customHeight="1" spans="1:14">
      <c r="A585" s="202"/>
      <c r="B585" s="203"/>
      <c r="C585" s="203"/>
      <c r="D585" s="200">
        <f t="shared" si="279"/>
        <v>209.647973</v>
      </c>
      <c r="E585" s="204">
        <f t="shared" si="280"/>
        <v>22.047973</v>
      </c>
      <c r="F585" s="205">
        <v>22.047973</v>
      </c>
      <c r="G585" s="205"/>
      <c r="H585" s="205"/>
      <c r="I585" s="204">
        <f t="shared" si="281"/>
        <v>187.6</v>
      </c>
      <c r="J585" s="212">
        <v>187.6</v>
      </c>
      <c r="K585" s="205"/>
      <c r="L585" s="205"/>
      <c r="M585" s="213" t="s">
        <v>774</v>
      </c>
      <c r="N585" s="176">
        <f t="shared" ref="N585:N648" si="285">J585+E585</f>
        <v>209.647973</v>
      </c>
    </row>
    <row r="586" ht="34.05" customHeight="1" spans="1:14">
      <c r="A586" s="202"/>
      <c r="B586" s="203"/>
      <c r="C586" s="203"/>
      <c r="D586" s="200">
        <f t="shared" si="279"/>
        <v>759.55</v>
      </c>
      <c r="E586" s="204">
        <f t="shared" si="280"/>
        <v>0</v>
      </c>
      <c r="F586" s="205"/>
      <c r="G586" s="205"/>
      <c r="H586" s="205"/>
      <c r="I586" s="204">
        <f t="shared" si="281"/>
        <v>759.55</v>
      </c>
      <c r="J586" s="212"/>
      <c r="K586" s="205"/>
      <c r="L586" s="205">
        <v>759.55</v>
      </c>
      <c r="M586" s="213" t="s">
        <v>775</v>
      </c>
      <c r="N586" s="176">
        <f t="shared" si="285"/>
        <v>0</v>
      </c>
    </row>
    <row r="587" ht="26.25" customHeight="1" spans="1:14">
      <c r="A587" s="198" t="s">
        <v>776</v>
      </c>
      <c r="B587" s="199" t="s">
        <v>777</v>
      </c>
      <c r="C587" s="199"/>
      <c r="D587" s="200">
        <f>SUM(D588:D606)</f>
        <v>18485.854756</v>
      </c>
      <c r="E587" s="204">
        <f t="shared" si="280"/>
        <v>18316.745756</v>
      </c>
      <c r="F587" s="204">
        <v>17301.516992</v>
      </c>
      <c r="G587" s="204"/>
      <c r="H587" s="204">
        <v>1015.228764</v>
      </c>
      <c r="I587" s="204">
        <f t="shared" si="281"/>
        <v>169.109</v>
      </c>
      <c r="J587" s="216">
        <v>169.109</v>
      </c>
      <c r="K587" s="204"/>
      <c r="L587" s="204"/>
      <c r="M587" s="211"/>
      <c r="N587" s="176">
        <f t="shared" si="285"/>
        <v>18485.854756</v>
      </c>
    </row>
    <row r="588" ht="26.25" customHeight="1" spans="1:14">
      <c r="A588" s="202"/>
      <c r="B588" s="203"/>
      <c r="C588" s="203" t="s">
        <v>526</v>
      </c>
      <c r="D588" s="200">
        <f t="shared" ref="D588:D606" si="286">E588+I588</f>
        <v>20.865</v>
      </c>
      <c r="E588" s="204">
        <f t="shared" si="280"/>
        <v>0</v>
      </c>
      <c r="F588" s="205"/>
      <c r="G588" s="205"/>
      <c r="H588" s="205"/>
      <c r="I588" s="204">
        <f t="shared" si="281"/>
        <v>20.865</v>
      </c>
      <c r="J588" s="212">
        <v>20.865</v>
      </c>
      <c r="K588" s="205"/>
      <c r="L588" s="205"/>
      <c r="M588" s="213" t="s">
        <v>778</v>
      </c>
      <c r="N588" s="176">
        <f t="shared" si="285"/>
        <v>20.865</v>
      </c>
    </row>
    <row r="589" ht="26.25" customHeight="1" spans="1:14">
      <c r="A589" s="202"/>
      <c r="B589" s="203"/>
      <c r="C589" s="203" t="s">
        <v>526</v>
      </c>
      <c r="D589" s="200">
        <f t="shared" si="286"/>
        <v>716.131825</v>
      </c>
      <c r="E589" s="204">
        <f t="shared" si="280"/>
        <v>716.131825</v>
      </c>
      <c r="F589" s="205">
        <v>667.126885</v>
      </c>
      <c r="G589" s="205"/>
      <c r="H589" s="205">
        <v>49.00494</v>
      </c>
      <c r="I589" s="204">
        <f t="shared" si="281"/>
        <v>0</v>
      </c>
      <c r="J589" s="212"/>
      <c r="K589" s="205"/>
      <c r="L589" s="205"/>
      <c r="M589" s="213"/>
      <c r="N589" s="176">
        <f t="shared" si="285"/>
        <v>716.131825</v>
      </c>
    </row>
    <row r="590" ht="26.25" customHeight="1" spans="1:14">
      <c r="A590" s="202"/>
      <c r="B590" s="203"/>
      <c r="C590" s="203" t="s">
        <v>526</v>
      </c>
      <c r="D590" s="200">
        <f t="shared" si="286"/>
        <v>746.147526</v>
      </c>
      <c r="E590" s="204">
        <f t="shared" si="280"/>
        <v>745.027526</v>
      </c>
      <c r="F590" s="205">
        <v>721.741826</v>
      </c>
      <c r="G590" s="205"/>
      <c r="H590" s="205">
        <v>23.2857</v>
      </c>
      <c r="I590" s="204">
        <f t="shared" si="281"/>
        <v>1.12</v>
      </c>
      <c r="J590" s="212">
        <v>1.12</v>
      </c>
      <c r="K590" s="205"/>
      <c r="L590" s="205"/>
      <c r="M590" s="213" t="s">
        <v>779</v>
      </c>
      <c r="N590" s="176">
        <f t="shared" si="285"/>
        <v>746.147526</v>
      </c>
    </row>
    <row r="591" ht="54" customHeight="1" spans="1:14">
      <c r="A591" s="202"/>
      <c r="B591" s="203"/>
      <c r="C591" s="203" t="s">
        <v>526</v>
      </c>
      <c r="D591" s="200">
        <f t="shared" si="286"/>
        <v>2037.738741</v>
      </c>
      <c r="E591" s="204">
        <f t="shared" si="280"/>
        <v>1948.338741</v>
      </c>
      <c r="F591" s="205">
        <v>1845.695661</v>
      </c>
      <c r="G591" s="205"/>
      <c r="H591" s="205">
        <v>102.64308</v>
      </c>
      <c r="I591" s="204">
        <f t="shared" si="281"/>
        <v>89.4</v>
      </c>
      <c r="J591" s="212">
        <v>89.4</v>
      </c>
      <c r="K591" s="205"/>
      <c r="L591" s="205"/>
      <c r="M591" s="213" t="s">
        <v>780</v>
      </c>
      <c r="N591" s="176">
        <f t="shared" si="285"/>
        <v>2037.738741</v>
      </c>
    </row>
    <row r="592" ht="26.25" customHeight="1" spans="1:14">
      <c r="A592" s="202"/>
      <c r="B592" s="203"/>
      <c r="C592" s="203" t="s">
        <v>526</v>
      </c>
      <c r="D592" s="200">
        <f t="shared" si="286"/>
        <v>520.293669</v>
      </c>
      <c r="E592" s="204">
        <f t="shared" si="280"/>
        <v>520.293669</v>
      </c>
      <c r="F592" s="205">
        <v>520.215669</v>
      </c>
      <c r="G592" s="205"/>
      <c r="H592" s="205">
        <v>0.078</v>
      </c>
      <c r="I592" s="204">
        <f t="shared" si="281"/>
        <v>0</v>
      </c>
      <c r="J592" s="212"/>
      <c r="K592" s="205"/>
      <c r="L592" s="205"/>
      <c r="M592" s="213"/>
      <c r="N592" s="176">
        <f t="shared" si="285"/>
        <v>520.293669</v>
      </c>
    </row>
    <row r="593" ht="26.25" customHeight="1" spans="1:14">
      <c r="A593" s="202"/>
      <c r="B593" s="203"/>
      <c r="C593" s="203" t="s">
        <v>526</v>
      </c>
      <c r="D593" s="200">
        <f t="shared" si="286"/>
        <v>420.395539</v>
      </c>
      <c r="E593" s="204">
        <f t="shared" si="280"/>
        <v>419.051539</v>
      </c>
      <c r="F593" s="205">
        <v>415.349539</v>
      </c>
      <c r="G593" s="205"/>
      <c r="H593" s="205">
        <v>3.702</v>
      </c>
      <c r="I593" s="204">
        <f t="shared" si="281"/>
        <v>1.344</v>
      </c>
      <c r="J593" s="212">
        <v>1.344</v>
      </c>
      <c r="K593" s="205"/>
      <c r="L593" s="205"/>
      <c r="M593" s="213" t="s">
        <v>781</v>
      </c>
      <c r="N593" s="176">
        <f t="shared" si="285"/>
        <v>420.395539</v>
      </c>
    </row>
    <row r="594" ht="26.25" customHeight="1" spans="1:14">
      <c r="A594" s="202"/>
      <c r="B594" s="203"/>
      <c r="C594" s="203" t="s">
        <v>526</v>
      </c>
      <c r="D594" s="200">
        <f t="shared" si="286"/>
        <v>450.844906</v>
      </c>
      <c r="E594" s="204">
        <f t="shared" si="280"/>
        <v>450.844906</v>
      </c>
      <c r="F594" s="205">
        <v>450.844906</v>
      </c>
      <c r="G594" s="205"/>
      <c r="H594" s="205"/>
      <c r="I594" s="204">
        <f t="shared" si="281"/>
        <v>0</v>
      </c>
      <c r="J594" s="212"/>
      <c r="K594" s="205"/>
      <c r="L594" s="205"/>
      <c r="M594" s="213"/>
      <c r="N594" s="176">
        <f t="shared" si="285"/>
        <v>450.844906</v>
      </c>
    </row>
    <row r="595" ht="26.25" customHeight="1" spans="1:14">
      <c r="A595" s="202"/>
      <c r="B595" s="203"/>
      <c r="C595" s="203" t="s">
        <v>526</v>
      </c>
      <c r="D595" s="200">
        <f t="shared" si="286"/>
        <v>336.526183</v>
      </c>
      <c r="E595" s="204">
        <f t="shared" si="280"/>
        <v>336.526183</v>
      </c>
      <c r="F595" s="205">
        <v>336.526183</v>
      </c>
      <c r="G595" s="205"/>
      <c r="H595" s="205"/>
      <c r="I595" s="204">
        <f t="shared" si="281"/>
        <v>0</v>
      </c>
      <c r="J595" s="212"/>
      <c r="K595" s="205"/>
      <c r="L595" s="205"/>
      <c r="M595" s="213"/>
      <c r="N595" s="176">
        <f t="shared" si="285"/>
        <v>336.526183</v>
      </c>
    </row>
    <row r="596" ht="26.25" customHeight="1" spans="1:14">
      <c r="A596" s="202"/>
      <c r="B596" s="203"/>
      <c r="C596" s="203" t="s">
        <v>526</v>
      </c>
      <c r="D596" s="200">
        <f t="shared" si="286"/>
        <v>606.821258</v>
      </c>
      <c r="E596" s="204">
        <f t="shared" si="280"/>
        <v>605.141258</v>
      </c>
      <c r="F596" s="205">
        <v>570.827978</v>
      </c>
      <c r="G596" s="205"/>
      <c r="H596" s="205">
        <v>34.31328</v>
      </c>
      <c r="I596" s="204">
        <f t="shared" si="281"/>
        <v>1.68</v>
      </c>
      <c r="J596" s="212">
        <v>1.68</v>
      </c>
      <c r="K596" s="205"/>
      <c r="L596" s="205"/>
      <c r="M596" s="213" t="s">
        <v>782</v>
      </c>
      <c r="N596" s="176">
        <f t="shared" si="285"/>
        <v>606.821258</v>
      </c>
    </row>
    <row r="597" ht="26.25" customHeight="1" spans="1:14">
      <c r="A597" s="202"/>
      <c r="B597" s="203"/>
      <c r="C597" s="203" t="s">
        <v>526</v>
      </c>
      <c r="D597" s="200">
        <f t="shared" si="286"/>
        <v>916.929211</v>
      </c>
      <c r="E597" s="204">
        <f t="shared" si="280"/>
        <v>915.009211</v>
      </c>
      <c r="F597" s="205">
        <v>870.336091</v>
      </c>
      <c r="G597" s="205"/>
      <c r="H597" s="205">
        <v>44.67312</v>
      </c>
      <c r="I597" s="204">
        <f t="shared" si="281"/>
        <v>1.92</v>
      </c>
      <c r="J597" s="212">
        <v>1.92</v>
      </c>
      <c r="K597" s="205"/>
      <c r="L597" s="205"/>
      <c r="M597" s="213" t="s">
        <v>783</v>
      </c>
      <c r="N597" s="176">
        <f t="shared" si="285"/>
        <v>916.929211</v>
      </c>
    </row>
    <row r="598" ht="26.25" customHeight="1" spans="1:14">
      <c r="A598" s="202"/>
      <c r="B598" s="203"/>
      <c r="C598" s="203" t="s">
        <v>526</v>
      </c>
      <c r="D598" s="200">
        <f t="shared" si="286"/>
        <v>869.843731</v>
      </c>
      <c r="E598" s="204">
        <f t="shared" si="280"/>
        <v>867.923731</v>
      </c>
      <c r="F598" s="205">
        <v>832.561171</v>
      </c>
      <c r="G598" s="205"/>
      <c r="H598" s="205">
        <v>35.36256</v>
      </c>
      <c r="I598" s="204">
        <f t="shared" si="281"/>
        <v>1.92</v>
      </c>
      <c r="J598" s="212">
        <v>1.92</v>
      </c>
      <c r="K598" s="205"/>
      <c r="L598" s="205"/>
      <c r="M598" s="213" t="s">
        <v>784</v>
      </c>
      <c r="N598" s="176">
        <f t="shared" si="285"/>
        <v>869.843731</v>
      </c>
    </row>
    <row r="599" ht="26.25" customHeight="1" spans="1:14">
      <c r="A599" s="202"/>
      <c r="B599" s="203"/>
      <c r="C599" s="203" t="s">
        <v>526</v>
      </c>
      <c r="D599" s="200">
        <f t="shared" si="286"/>
        <v>1201.064909</v>
      </c>
      <c r="E599" s="204">
        <f t="shared" si="280"/>
        <v>1198.904909</v>
      </c>
      <c r="F599" s="205">
        <v>1125.685229</v>
      </c>
      <c r="G599" s="205"/>
      <c r="H599" s="205">
        <v>73.21968</v>
      </c>
      <c r="I599" s="204">
        <f t="shared" si="281"/>
        <v>2.16</v>
      </c>
      <c r="J599" s="212">
        <v>2.16</v>
      </c>
      <c r="K599" s="205"/>
      <c r="L599" s="205"/>
      <c r="M599" s="213" t="s">
        <v>785</v>
      </c>
      <c r="N599" s="176">
        <f t="shared" si="285"/>
        <v>1201.064909</v>
      </c>
    </row>
    <row r="600" ht="26.25" customHeight="1" spans="1:14">
      <c r="A600" s="202"/>
      <c r="B600" s="203"/>
      <c r="C600" s="203" t="s">
        <v>526</v>
      </c>
      <c r="D600" s="200">
        <f t="shared" si="286"/>
        <v>658.800858</v>
      </c>
      <c r="E600" s="204">
        <f t="shared" si="280"/>
        <v>656.880858</v>
      </c>
      <c r="F600" s="205">
        <v>585.467178</v>
      </c>
      <c r="G600" s="205"/>
      <c r="H600" s="205">
        <v>71.41368</v>
      </c>
      <c r="I600" s="204">
        <f t="shared" si="281"/>
        <v>1.92</v>
      </c>
      <c r="J600" s="212">
        <v>1.92</v>
      </c>
      <c r="K600" s="205"/>
      <c r="L600" s="205"/>
      <c r="M600" s="213" t="s">
        <v>786</v>
      </c>
      <c r="N600" s="176">
        <f t="shared" si="285"/>
        <v>658.800858</v>
      </c>
    </row>
    <row r="601" ht="42" customHeight="1" spans="1:14">
      <c r="A601" s="202"/>
      <c r="B601" s="203"/>
      <c r="C601" s="203" t="s">
        <v>526</v>
      </c>
      <c r="D601" s="200">
        <f t="shared" si="286"/>
        <v>1244.838958</v>
      </c>
      <c r="E601" s="204">
        <f t="shared" si="280"/>
        <v>1239.158958</v>
      </c>
      <c r="F601" s="205">
        <v>1131.159198</v>
      </c>
      <c r="G601" s="205"/>
      <c r="H601" s="205">
        <v>107.99976</v>
      </c>
      <c r="I601" s="204">
        <f t="shared" si="281"/>
        <v>5.68</v>
      </c>
      <c r="J601" s="212">
        <v>5.68</v>
      </c>
      <c r="K601" s="205"/>
      <c r="L601" s="205"/>
      <c r="M601" s="213" t="s">
        <v>787</v>
      </c>
      <c r="N601" s="176">
        <f t="shared" si="285"/>
        <v>1244.838958</v>
      </c>
    </row>
    <row r="602" ht="42" customHeight="1" spans="1:14">
      <c r="A602" s="202"/>
      <c r="B602" s="203"/>
      <c r="C602" s="203" t="s">
        <v>526</v>
      </c>
      <c r="D602" s="200">
        <f t="shared" si="286"/>
        <v>1158.44462</v>
      </c>
      <c r="E602" s="204">
        <f t="shared" si="280"/>
        <v>1139.72462</v>
      </c>
      <c r="F602" s="205">
        <v>1070.26154</v>
      </c>
      <c r="G602" s="205"/>
      <c r="H602" s="205">
        <v>69.46308</v>
      </c>
      <c r="I602" s="204">
        <f t="shared" si="281"/>
        <v>18.72</v>
      </c>
      <c r="J602" s="212">
        <v>18.72</v>
      </c>
      <c r="K602" s="205"/>
      <c r="L602" s="205"/>
      <c r="M602" s="213" t="s">
        <v>788</v>
      </c>
      <c r="N602" s="176">
        <f t="shared" si="285"/>
        <v>1158.44462</v>
      </c>
    </row>
    <row r="603" ht="44" customHeight="1" spans="1:14">
      <c r="A603" s="202"/>
      <c r="B603" s="203"/>
      <c r="C603" s="203" t="s">
        <v>526</v>
      </c>
      <c r="D603" s="200">
        <f t="shared" si="286"/>
        <v>812.611112</v>
      </c>
      <c r="E603" s="204">
        <f t="shared" si="280"/>
        <v>807.171112</v>
      </c>
      <c r="F603" s="205">
        <v>746.627392</v>
      </c>
      <c r="G603" s="205"/>
      <c r="H603" s="205">
        <v>60.54372</v>
      </c>
      <c r="I603" s="204">
        <f t="shared" si="281"/>
        <v>5.44</v>
      </c>
      <c r="J603" s="212">
        <v>5.44</v>
      </c>
      <c r="K603" s="205"/>
      <c r="L603" s="205"/>
      <c r="M603" s="213" t="s">
        <v>789</v>
      </c>
      <c r="N603" s="176">
        <f t="shared" si="285"/>
        <v>812.611112</v>
      </c>
    </row>
    <row r="604" ht="26.25" customHeight="1" spans="1:14">
      <c r="A604" s="202"/>
      <c r="B604" s="203"/>
      <c r="C604" s="203" t="s">
        <v>526</v>
      </c>
      <c r="D604" s="200">
        <f t="shared" si="286"/>
        <v>2043.381706</v>
      </c>
      <c r="E604" s="204">
        <f t="shared" si="280"/>
        <v>2041.221706</v>
      </c>
      <c r="F604" s="205">
        <v>1909.480306</v>
      </c>
      <c r="G604" s="205"/>
      <c r="H604" s="205">
        <v>131.7414</v>
      </c>
      <c r="I604" s="204">
        <f t="shared" si="281"/>
        <v>2.16</v>
      </c>
      <c r="J604" s="212">
        <v>2.16</v>
      </c>
      <c r="K604" s="205"/>
      <c r="L604" s="205"/>
      <c r="M604" s="213" t="s">
        <v>790</v>
      </c>
      <c r="N604" s="176">
        <f t="shared" si="285"/>
        <v>2043.381706</v>
      </c>
    </row>
    <row r="605" ht="40" customHeight="1" spans="1:14">
      <c r="A605" s="202"/>
      <c r="B605" s="203"/>
      <c r="C605" s="203" t="s">
        <v>526</v>
      </c>
      <c r="D605" s="200">
        <f t="shared" si="286"/>
        <v>2184.739091</v>
      </c>
      <c r="E605" s="204">
        <f t="shared" si="280"/>
        <v>2174.339091</v>
      </c>
      <c r="F605" s="205">
        <v>2043.287187</v>
      </c>
      <c r="G605" s="205"/>
      <c r="H605" s="205">
        <v>131.051904</v>
      </c>
      <c r="I605" s="204">
        <f t="shared" si="281"/>
        <v>10.4</v>
      </c>
      <c r="J605" s="212">
        <v>10.4</v>
      </c>
      <c r="K605" s="205"/>
      <c r="L605" s="205"/>
      <c r="M605" s="213" t="s">
        <v>791</v>
      </c>
      <c r="N605" s="176">
        <f t="shared" si="285"/>
        <v>2184.739091</v>
      </c>
    </row>
    <row r="606" ht="42" customHeight="1" spans="1:14">
      <c r="A606" s="202"/>
      <c r="B606" s="203"/>
      <c r="C606" s="203" t="s">
        <v>526</v>
      </c>
      <c r="D606" s="200">
        <f t="shared" si="286"/>
        <v>1539.435913</v>
      </c>
      <c r="E606" s="204">
        <f t="shared" si="280"/>
        <v>1535.055913</v>
      </c>
      <c r="F606" s="205">
        <v>1458.323053</v>
      </c>
      <c r="G606" s="205"/>
      <c r="H606" s="205">
        <v>76.73286</v>
      </c>
      <c r="I606" s="204">
        <f t="shared" si="281"/>
        <v>4.38</v>
      </c>
      <c r="J606" s="212">
        <v>4.38</v>
      </c>
      <c r="K606" s="205"/>
      <c r="L606" s="205"/>
      <c r="M606" s="213" t="s">
        <v>792</v>
      </c>
      <c r="N606" s="176">
        <f t="shared" si="285"/>
        <v>1539.435913</v>
      </c>
    </row>
    <row r="607" ht="26.25" customHeight="1" spans="1:14">
      <c r="A607" s="198" t="s">
        <v>793</v>
      </c>
      <c r="B607" s="199" t="s">
        <v>794</v>
      </c>
      <c r="C607" s="199"/>
      <c r="D607" s="200">
        <f>SUM(D608:D621)</f>
        <v>9424.865056</v>
      </c>
      <c r="E607" s="204">
        <f t="shared" si="280"/>
        <v>8914.248806</v>
      </c>
      <c r="F607" s="204">
        <v>8670.692366</v>
      </c>
      <c r="G607" s="204"/>
      <c r="H607" s="204">
        <v>243.55644</v>
      </c>
      <c r="I607" s="204">
        <f t="shared" si="281"/>
        <v>510.61625</v>
      </c>
      <c r="J607" s="216">
        <v>510.61625</v>
      </c>
      <c r="K607" s="204"/>
      <c r="L607" s="204"/>
      <c r="M607" s="211"/>
      <c r="N607" s="176">
        <f t="shared" si="285"/>
        <v>9424.865056</v>
      </c>
    </row>
    <row r="608" ht="27" customHeight="1" spans="1:14">
      <c r="A608" s="202"/>
      <c r="B608" s="203"/>
      <c r="C608" s="203" t="s">
        <v>526</v>
      </c>
      <c r="D608" s="200">
        <f t="shared" ref="D608:D621" si="287">E608+I608</f>
        <v>94.44625</v>
      </c>
      <c r="E608" s="204">
        <f t="shared" si="280"/>
        <v>0</v>
      </c>
      <c r="F608" s="205"/>
      <c r="G608" s="205"/>
      <c r="H608" s="205"/>
      <c r="I608" s="204">
        <f t="shared" si="281"/>
        <v>94.44625</v>
      </c>
      <c r="J608" s="212">
        <v>94.44625</v>
      </c>
      <c r="K608" s="205"/>
      <c r="L608" s="205"/>
      <c r="M608" s="213" t="s">
        <v>795</v>
      </c>
      <c r="N608" s="176">
        <f t="shared" si="285"/>
        <v>94.44625</v>
      </c>
    </row>
    <row r="609" ht="40" customHeight="1" spans="1:14">
      <c r="A609" s="202"/>
      <c r="B609" s="203"/>
      <c r="C609" s="203" t="s">
        <v>526</v>
      </c>
      <c r="D609" s="200">
        <f t="shared" si="287"/>
        <v>1410.570345</v>
      </c>
      <c r="E609" s="204">
        <f t="shared" si="280"/>
        <v>1310.570345</v>
      </c>
      <c r="F609" s="205">
        <v>1284.440345</v>
      </c>
      <c r="G609" s="205"/>
      <c r="H609" s="205">
        <v>26.13</v>
      </c>
      <c r="I609" s="204">
        <f t="shared" si="281"/>
        <v>100</v>
      </c>
      <c r="J609" s="212">
        <v>100</v>
      </c>
      <c r="K609" s="205"/>
      <c r="L609" s="205"/>
      <c r="M609" s="213" t="s">
        <v>796</v>
      </c>
      <c r="N609" s="176">
        <f t="shared" si="285"/>
        <v>1410.570345</v>
      </c>
    </row>
    <row r="610" ht="26.25" customHeight="1" spans="1:14">
      <c r="A610" s="202"/>
      <c r="B610" s="203"/>
      <c r="C610" s="203" t="s">
        <v>526</v>
      </c>
      <c r="D610" s="200">
        <f t="shared" si="287"/>
        <v>929.536399</v>
      </c>
      <c r="E610" s="204">
        <f t="shared" si="280"/>
        <v>885.536399</v>
      </c>
      <c r="F610" s="205">
        <v>867.310079</v>
      </c>
      <c r="G610" s="205"/>
      <c r="H610" s="205">
        <v>18.22632</v>
      </c>
      <c r="I610" s="204">
        <f t="shared" si="281"/>
        <v>44</v>
      </c>
      <c r="J610" s="212">
        <v>44</v>
      </c>
      <c r="K610" s="205"/>
      <c r="L610" s="205"/>
      <c r="M610" s="213" t="s">
        <v>797</v>
      </c>
      <c r="N610" s="176">
        <f t="shared" si="285"/>
        <v>929.536399</v>
      </c>
    </row>
    <row r="611" ht="26.25" customHeight="1" spans="1:14">
      <c r="A611" s="202"/>
      <c r="B611" s="203"/>
      <c r="C611" s="203" t="s">
        <v>526</v>
      </c>
      <c r="D611" s="200">
        <f t="shared" si="287"/>
        <v>1203.015399</v>
      </c>
      <c r="E611" s="204">
        <f t="shared" si="280"/>
        <v>1158.015399</v>
      </c>
      <c r="F611" s="205">
        <v>1121.120679</v>
      </c>
      <c r="G611" s="205"/>
      <c r="H611" s="205">
        <v>36.89472</v>
      </c>
      <c r="I611" s="204">
        <f t="shared" si="281"/>
        <v>45</v>
      </c>
      <c r="J611" s="212">
        <v>45</v>
      </c>
      <c r="K611" s="205"/>
      <c r="L611" s="205"/>
      <c r="M611" s="213" t="s">
        <v>798</v>
      </c>
      <c r="N611" s="176">
        <f t="shared" si="285"/>
        <v>1203.015399</v>
      </c>
    </row>
    <row r="612" ht="26.25" customHeight="1" spans="1:14">
      <c r="A612" s="202"/>
      <c r="B612" s="203"/>
      <c r="C612" s="203" t="s">
        <v>526</v>
      </c>
      <c r="D612" s="200">
        <f t="shared" si="287"/>
        <v>602.719216</v>
      </c>
      <c r="E612" s="204">
        <f t="shared" si="280"/>
        <v>568.719216</v>
      </c>
      <c r="F612" s="205">
        <v>568.695216</v>
      </c>
      <c r="G612" s="205"/>
      <c r="H612" s="205">
        <v>0.024</v>
      </c>
      <c r="I612" s="204">
        <f t="shared" si="281"/>
        <v>34</v>
      </c>
      <c r="J612" s="212">
        <v>34</v>
      </c>
      <c r="K612" s="205"/>
      <c r="L612" s="205"/>
      <c r="M612" s="213" t="s">
        <v>799</v>
      </c>
      <c r="N612" s="176">
        <f t="shared" si="285"/>
        <v>602.719216</v>
      </c>
    </row>
    <row r="613" ht="38" customHeight="1" spans="1:14">
      <c r="A613" s="202"/>
      <c r="B613" s="203"/>
      <c r="C613" s="203" t="s">
        <v>526</v>
      </c>
      <c r="D613" s="200">
        <f t="shared" si="287"/>
        <v>412.817312</v>
      </c>
      <c r="E613" s="204">
        <f t="shared" si="280"/>
        <v>399.817312</v>
      </c>
      <c r="F613" s="205">
        <v>383.172832</v>
      </c>
      <c r="G613" s="205"/>
      <c r="H613" s="205">
        <v>16.64448</v>
      </c>
      <c r="I613" s="204">
        <f t="shared" si="281"/>
        <v>13</v>
      </c>
      <c r="J613" s="212">
        <v>13</v>
      </c>
      <c r="K613" s="205"/>
      <c r="L613" s="205"/>
      <c r="M613" s="213" t="s">
        <v>800</v>
      </c>
      <c r="N613" s="176">
        <f t="shared" si="285"/>
        <v>412.817312</v>
      </c>
    </row>
    <row r="614" ht="47" customHeight="1" spans="1:14">
      <c r="A614" s="202"/>
      <c r="B614" s="203"/>
      <c r="C614" s="203" t="s">
        <v>526</v>
      </c>
      <c r="D614" s="200">
        <f t="shared" si="287"/>
        <v>618.2562</v>
      </c>
      <c r="E614" s="204">
        <f t="shared" si="280"/>
        <v>593.7562</v>
      </c>
      <c r="F614" s="205">
        <v>574.84252</v>
      </c>
      <c r="G614" s="205"/>
      <c r="H614" s="205">
        <v>18.91368</v>
      </c>
      <c r="I614" s="204">
        <f t="shared" si="281"/>
        <v>24.5</v>
      </c>
      <c r="J614" s="212">
        <v>24.5</v>
      </c>
      <c r="K614" s="205"/>
      <c r="L614" s="205"/>
      <c r="M614" s="213" t="s">
        <v>801</v>
      </c>
      <c r="N614" s="176">
        <f t="shared" si="285"/>
        <v>618.2562</v>
      </c>
    </row>
    <row r="615" ht="39" customHeight="1" spans="1:14">
      <c r="A615" s="202"/>
      <c r="B615" s="203"/>
      <c r="C615" s="203" t="s">
        <v>526</v>
      </c>
      <c r="D615" s="200">
        <f t="shared" si="287"/>
        <v>280.378752</v>
      </c>
      <c r="E615" s="204">
        <f t="shared" si="280"/>
        <v>280.378752</v>
      </c>
      <c r="F615" s="205">
        <v>269.909952</v>
      </c>
      <c r="G615" s="205"/>
      <c r="H615" s="205">
        <v>10.4688</v>
      </c>
      <c r="I615" s="204">
        <f t="shared" si="281"/>
        <v>0</v>
      </c>
      <c r="J615" s="212"/>
      <c r="K615" s="205"/>
      <c r="L615" s="205"/>
      <c r="M615" s="215"/>
      <c r="N615" s="176">
        <f t="shared" si="285"/>
        <v>280.378752</v>
      </c>
    </row>
    <row r="616" ht="26.25" customHeight="1" spans="1:14">
      <c r="A616" s="202"/>
      <c r="B616" s="203"/>
      <c r="C616" s="203" t="s">
        <v>526</v>
      </c>
      <c r="D616" s="200">
        <f t="shared" si="287"/>
        <v>667.204796</v>
      </c>
      <c r="E616" s="204">
        <f t="shared" si="280"/>
        <v>664.204796</v>
      </c>
      <c r="F616" s="205">
        <v>646.423196</v>
      </c>
      <c r="G616" s="205"/>
      <c r="H616" s="205">
        <v>17.7816</v>
      </c>
      <c r="I616" s="204">
        <f t="shared" si="281"/>
        <v>3</v>
      </c>
      <c r="J616" s="212">
        <v>3</v>
      </c>
      <c r="K616" s="205"/>
      <c r="L616" s="205"/>
      <c r="M616" s="213" t="s">
        <v>802</v>
      </c>
      <c r="N616" s="176">
        <f t="shared" si="285"/>
        <v>667.204796</v>
      </c>
    </row>
    <row r="617" ht="26.25" customHeight="1" spans="1:14">
      <c r="A617" s="202"/>
      <c r="B617" s="203"/>
      <c r="C617" s="203" t="s">
        <v>526</v>
      </c>
      <c r="D617" s="200">
        <f t="shared" si="287"/>
        <v>381.737997</v>
      </c>
      <c r="E617" s="204">
        <f t="shared" si="280"/>
        <v>366.737997</v>
      </c>
      <c r="F617" s="205">
        <v>361.249197</v>
      </c>
      <c r="G617" s="205"/>
      <c r="H617" s="205">
        <v>5.4888</v>
      </c>
      <c r="I617" s="204">
        <f t="shared" si="281"/>
        <v>15</v>
      </c>
      <c r="J617" s="212">
        <v>15</v>
      </c>
      <c r="K617" s="205"/>
      <c r="L617" s="205"/>
      <c r="M617" s="213" t="s">
        <v>803</v>
      </c>
      <c r="N617" s="176">
        <f t="shared" si="285"/>
        <v>381.737997</v>
      </c>
    </row>
    <row r="618" ht="26.25" customHeight="1" spans="1:14">
      <c r="A618" s="202"/>
      <c r="B618" s="203"/>
      <c r="C618" s="203" t="s">
        <v>526</v>
      </c>
      <c r="D618" s="200">
        <f t="shared" si="287"/>
        <v>376.41673</v>
      </c>
      <c r="E618" s="204">
        <f t="shared" si="280"/>
        <v>359.74673</v>
      </c>
      <c r="F618" s="205">
        <v>340.21277</v>
      </c>
      <c r="G618" s="205"/>
      <c r="H618" s="205">
        <v>19.53396</v>
      </c>
      <c r="I618" s="204">
        <f t="shared" si="281"/>
        <v>16.67</v>
      </c>
      <c r="J618" s="212">
        <v>16.67</v>
      </c>
      <c r="K618" s="205"/>
      <c r="L618" s="205"/>
      <c r="M618" s="213" t="s">
        <v>804</v>
      </c>
      <c r="N618" s="176">
        <f t="shared" si="285"/>
        <v>376.41673</v>
      </c>
    </row>
    <row r="619" ht="26.25" customHeight="1" spans="1:14">
      <c r="A619" s="202"/>
      <c r="B619" s="203"/>
      <c r="C619" s="203" t="s">
        <v>526</v>
      </c>
      <c r="D619" s="200">
        <f t="shared" si="287"/>
        <v>878.648821</v>
      </c>
      <c r="E619" s="204">
        <f t="shared" si="280"/>
        <v>843.648821</v>
      </c>
      <c r="F619" s="205">
        <v>829.560581</v>
      </c>
      <c r="G619" s="205"/>
      <c r="H619" s="205">
        <v>14.08824</v>
      </c>
      <c r="I619" s="204">
        <f t="shared" si="281"/>
        <v>35</v>
      </c>
      <c r="J619" s="212">
        <v>35</v>
      </c>
      <c r="K619" s="205"/>
      <c r="L619" s="205"/>
      <c r="M619" s="213" t="s">
        <v>805</v>
      </c>
      <c r="N619" s="176">
        <f t="shared" si="285"/>
        <v>878.648821</v>
      </c>
    </row>
    <row r="620" ht="26.25" customHeight="1" spans="1:14">
      <c r="A620" s="202"/>
      <c r="B620" s="203"/>
      <c r="C620" s="203" t="s">
        <v>526</v>
      </c>
      <c r="D620" s="200">
        <f t="shared" si="287"/>
        <v>832.070152</v>
      </c>
      <c r="E620" s="204">
        <f t="shared" si="280"/>
        <v>802.070152</v>
      </c>
      <c r="F620" s="205">
        <v>774.733912</v>
      </c>
      <c r="G620" s="205"/>
      <c r="H620" s="205">
        <v>27.33624</v>
      </c>
      <c r="I620" s="204">
        <f t="shared" si="281"/>
        <v>30</v>
      </c>
      <c r="J620" s="212">
        <v>30</v>
      </c>
      <c r="K620" s="205"/>
      <c r="L620" s="205"/>
      <c r="M620" s="213" t="s">
        <v>806</v>
      </c>
      <c r="N620" s="176">
        <f t="shared" si="285"/>
        <v>832.070152</v>
      </c>
    </row>
    <row r="621" ht="26.25" customHeight="1" spans="1:14">
      <c r="A621" s="202"/>
      <c r="B621" s="203"/>
      <c r="C621" s="203" t="s">
        <v>526</v>
      </c>
      <c r="D621" s="200">
        <f t="shared" si="287"/>
        <v>737.046687</v>
      </c>
      <c r="E621" s="204">
        <f t="shared" si="280"/>
        <v>681.046687</v>
      </c>
      <c r="F621" s="205">
        <v>649.021087</v>
      </c>
      <c r="G621" s="205"/>
      <c r="H621" s="205">
        <v>32.0256</v>
      </c>
      <c r="I621" s="204">
        <f t="shared" si="281"/>
        <v>56</v>
      </c>
      <c r="J621" s="212">
        <v>56</v>
      </c>
      <c r="K621" s="205"/>
      <c r="L621" s="205"/>
      <c r="M621" s="213" t="s">
        <v>807</v>
      </c>
      <c r="N621" s="176">
        <f t="shared" si="285"/>
        <v>737.046687</v>
      </c>
    </row>
    <row r="622" ht="26.25" customHeight="1" spans="1:14">
      <c r="A622" s="198" t="s">
        <v>808</v>
      </c>
      <c r="B622" s="199" t="s">
        <v>809</v>
      </c>
      <c r="C622" s="199"/>
      <c r="D622" s="200">
        <f t="shared" ref="D622:L622" si="288">SUM(D623:D626)</f>
        <v>6021.396176</v>
      </c>
      <c r="E622" s="200">
        <f t="shared" si="288"/>
        <v>3665.997876</v>
      </c>
      <c r="F622" s="200">
        <f t="shared" si="288"/>
        <v>3588.336996</v>
      </c>
      <c r="G622" s="200">
        <f t="shared" si="288"/>
        <v>0</v>
      </c>
      <c r="H622" s="200">
        <f t="shared" si="288"/>
        <v>77.66088</v>
      </c>
      <c r="I622" s="200">
        <f t="shared" si="288"/>
        <v>2355.3983</v>
      </c>
      <c r="J622" s="200">
        <f t="shared" si="288"/>
        <v>1086.66</v>
      </c>
      <c r="K622" s="200">
        <f t="shared" si="288"/>
        <v>20.1283</v>
      </c>
      <c r="L622" s="200">
        <f t="shared" si="288"/>
        <v>1248.61</v>
      </c>
      <c r="M622" s="211"/>
      <c r="N622" s="176">
        <f t="shared" si="285"/>
        <v>4752.657876</v>
      </c>
    </row>
    <row r="623" ht="55" customHeight="1" spans="1:14">
      <c r="A623" s="202"/>
      <c r="B623" s="203"/>
      <c r="C623" s="203" t="s">
        <v>526</v>
      </c>
      <c r="D623" s="200">
        <f t="shared" ref="D623:D626" si="289">E623+I623</f>
        <v>889.7883</v>
      </c>
      <c r="E623" s="204">
        <f t="shared" ref="E623:E626" si="290">SUM(F623:H623)</f>
        <v>0</v>
      </c>
      <c r="F623" s="205"/>
      <c r="G623" s="205"/>
      <c r="H623" s="205"/>
      <c r="I623" s="204">
        <f t="shared" ref="I623:I626" si="291">SUM(J623:L623)</f>
        <v>889.7883</v>
      </c>
      <c r="J623" s="212">
        <v>869.66</v>
      </c>
      <c r="K623" s="205">
        <v>20.1283</v>
      </c>
      <c r="L623" s="205"/>
      <c r="M623" s="213" t="s">
        <v>810</v>
      </c>
      <c r="N623" s="176">
        <f t="shared" si="285"/>
        <v>869.66</v>
      </c>
    </row>
    <row r="624" ht="26.25" customHeight="1" spans="1:14">
      <c r="A624" s="202"/>
      <c r="B624" s="203"/>
      <c r="C624" s="203" t="s">
        <v>526</v>
      </c>
      <c r="D624" s="200">
        <f t="shared" si="289"/>
        <v>2622.696968</v>
      </c>
      <c r="E624" s="204">
        <f t="shared" si="290"/>
        <v>2525.696968</v>
      </c>
      <c r="F624" s="205">
        <v>2474.815648</v>
      </c>
      <c r="G624" s="205"/>
      <c r="H624" s="205">
        <v>50.88132</v>
      </c>
      <c r="I624" s="204">
        <f t="shared" si="291"/>
        <v>97</v>
      </c>
      <c r="J624" s="212">
        <v>97</v>
      </c>
      <c r="K624" s="205"/>
      <c r="L624" s="205"/>
      <c r="M624" s="213" t="s">
        <v>811</v>
      </c>
      <c r="N624" s="176">
        <f t="shared" si="285"/>
        <v>2622.696968</v>
      </c>
    </row>
    <row r="625" ht="26.25" customHeight="1" spans="1:14">
      <c r="A625" s="202"/>
      <c r="B625" s="203"/>
      <c r="C625" s="203" t="s">
        <v>526</v>
      </c>
      <c r="D625" s="200">
        <f t="shared" si="289"/>
        <v>1260.300908</v>
      </c>
      <c r="E625" s="204">
        <f t="shared" si="290"/>
        <v>1140.300908</v>
      </c>
      <c r="F625" s="205">
        <v>1113.521348</v>
      </c>
      <c r="G625" s="205"/>
      <c r="H625" s="205">
        <v>26.77956</v>
      </c>
      <c r="I625" s="204">
        <f t="shared" si="291"/>
        <v>120</v>
      </c>
      <c r="J625" s="212">
        <v>120</v>
      </c>
      <c r="K625" s="205"/>
      <c r="L625" s="205"/>
      <c r="M625" s="213" t="s">
        <v>812</v>
      </c>
      <c r="N625" s="176">
        <f t="shared" si="285"/>
        <v>1260.300908</v>
      </c>
    </row>
    <row r="626" ht="26.25" customHeight="1" spans="1:14">
      <c r="A626" s="202"/>
      <c r="B626" s="203"/>
      <c r="C626" s="203"/>
      <c r="D626" s="200">
        <f t="shared" si="289"/>
        <v>1248.61</v>
      </c>
      <c r="E626" s="204">
        <f t="shared" si="290"/>
        <v>0</v>
      </c>
      <c r="F626" s="205"/>
      <c r="G626" s="205"/>
      <c r="H626" s="205"/>
      <c r="I626" s="204">
        <f t="shared" si="291"/>
        <v>1248.61</v>
      </c>
      <c r="J626" s="212"/>
      <c r="K626" s="205"/>
      <c r="L626" s="205">
        <v>1248.61</v>
      </c>
      <c r="M626" s="213" t="s">
        <v>813</v>
      </c>
      <c r="N626" s="176">
        <f t="shared" si="285"/>
        <v>0</v>
      </c>
    </row>
    <row r="627" ht="26.25" customHeight="1" spans="1:14">
      <c r="A627" s="198" t="s">
        <v>814</v>
      </c>
      <c r="B627" s="199" t="s">
        <v>815</v>
      </c>
      <c r="C627" s="199"/>
      <c r="D627" s="200">
        <f t="shared" ref="D627:L627" si="292">D628</f>
        <v>5447.6212</v>
      </c>
      <c r="E627" s="200">
        <f t="shared" si="292"/>
        <v>0</v>
      </c>
      <c r="F627" s="200">
        <f t="shared" si="292"/>
        <v>0</v>
      </c>
      <c r="G627" s="200">
        <f t="shared" si="292"/>
        <v>0</v>
      </c>
      <c r="H627" s="200">
        <f t="shared" si="292"/>
        <v>0</v>
      </c>
      <c r="I627" s="200">
        <f t="shared" si="292"/>
        <v>5447.6212</v>
      </c>
      <c r="J627" s="200">
        <f t="shared" si="292"/>
        <v>1003.4619</v>
      </c>
      <c r="K627" s="200">
        <f t="shared" si="292"/>
        <v>4444.1593</v>
      </c>
      <c r="L627" s="200">
        <f t="shared" si="292"/>
        <v>0</v>
      </c>
      <c r="M627" s="211"/>
      <c r="N627" s="176">
        <f t="shared" si="285"/>
        <v>1003.4619</v>
      </c>
    </row>
    <row r="628" ht="166" customHeight="1" spans="1:14">
      <c r="A628" s="202"/>
      <c r="B628" s="203"/>
      <c r="C628" s="203" t="s">
        <v>526</v>
      </c>
      <c r="D628" s="200">
        <f t="shared" ref="D628:D634" si="293">E628+I628</f>
        <v>5447.6212</v>
      </c>
      <c r="E628" s="204">
        <f t="shared" ref="E628:E634" si="294">SUM(F628:H628)</f>
        <v>0</v>
      </c>
      <c r="F628" s="205"/>
      <c r="G628" s="205"/>
      <c r="H628" s="205"/>
      <c r="I628" s="204">
        <f t="shared" ref="I628:I634" si="295">SUM(J628:L628)</f>
        <v>5447.6212</v>
      </c>
      <c r="J628" s="212">
        <v>1003.4619</v>
      </c>
      <c r="K628" s="205">
        <v>4444.1593</v>
      </c>
      <c r="L628" s="205"/>
      <c r="M628" s="213" t="s">
        <v>816</v>
      </c>
      <c r="N628" s="176">
        <f t="shared" si="285"/>
        <v>1003.4619</v>
      </c>
    </row>
    <row r="629" ht="26.25" customHeight="1" spans="1:14">
      <c r="A629" s="198" t="s">
        <v>817</v>
      </c>
      <c r="B629" s="199" t="s">
        <v>818</v>
      </c>
      <c r="C629" s="199"/>
      <c r="D629" s="200">
        <f t="shared" ref="D629:L629" si="296">D630+D634</f>
        <v>949.393263</v>
      </c>
      <c r="E629" s="200">
        <f t="shared" si="296"/>
        <v>495.290963</v>
      </c>
      <c r="F629" s="200">
        <f t="shared" si="296"/>
        <v>466.657079</v>
      </c>
      <c r="G629" s="200">
        <f t="shared" si="296"/>
        <v>0</v>
      </c>
      <c r="H629" s="200">
        <f t="shared" si="296"/>
        <v>28.633884</v>
      </c>
      <c r="I629" s="200">
        <f t="shared" si="296"/>
        <v>454.1023</v>
      </c>
      <c r="J629" s="200">
        <f t="shared" si="296"/>
        <v>56.43</v>
      </c>
      <c r="K629" s="200">
        <f t="shared" si="296"/>
        <v>44.0123</v>
      </c>
      <c r="L629" s="200">
        <f t="shared" si="296"/>
        <v>353.66</v>
      </c>
      <c r="M629" s="211"/>
      <c r="N629" s="176">
        <f t="shared" si="285"/>
        <v>551.720963</v>
      </c>
    </row>
    <row r="630" ht="26.25" customHeight="1" spans="1:14">
      <c r="A630" s="198" t="s">
        <v>819</v>
      </c>
      <c r="B630" s="199" t="s">
        <v>820</v>
      </c>
      <c r="C630" s="199"/>
      <c r="D630" s="200">
        <f t="shared" ref="D630:L630" si="297">SUM(D631:D633)</f>
        <v>928.233263</v>
      </c>
      <c r="E630" s="200">
        <f t="shared" si="297"/>
        <v>495.290963</v>
      </c>
      <c r="F630" s="200">
        <f t="shared" si="297"/>
        <v>466.657079</v>
      </c>
      <c r="G630" s="200">
        <f t="shared" si="297"/>
        <v>0</v>
      </c>
      <c r="H630" s="200">
        <f t="shared" si="297"/>
        <v>28.633884</v>
      </c>
      <c r="I630" s="200">
        <f t="shared" si="297"/>
        <v>432.9423</v>
      </c>
      <c r="J630" s="200">
        <f t="shared" si="297"/>
        <v>56.43</v>
      </c>
      <c r="K630" s="200">
        <f t="shared" si="297"/>
        <v>44.0123</v>
      </c>
      <c r="L630" s="200">
        <f t="shared" si="297"/>
        <v>332.5</v>
      </c>
      <c r="M630" s="211"/>
      <c r="N630" s="176">
        <f t="shared" si="285"/>
        <v>551.720963</v>
      </c>
    </row>
    <row r="631" ht="45" customHeight="1" spans="1:14">
      <c r="A631" s="202"/>
      <c r="B631" s="203"/>
      <c r="C631" s="203" t="s">
        <v>526</v>
      </c>
      <c r="D631" s="200">
        <f t="shared" si="293"/>
        <v>100.4423</v>
      </c>
      <c r="E631" s="204">
        <f t="shared" si="294"/>
        <v>0</v>
      </c>
      <c r="F631" s="205"/>
      <c r="G631" s="205"/>
      <c r="H631" s="205"/>
      <c r="I631" s="204">
        <f t="shared" si="295"/>
        <v>100.4423</v>
      </c>
      <c r="J631" s="212">
        <v>56.43</v>
      </c>
      <c r="K631" s="205">
        <v>44.0123</v>
      </c>
      <c r="L631" s="205"/>
      <c r="M631" s="213" t="s">
        <v>821</v>
      </c>
      <c r="N631" s="176">
        <f t="shared" si="285"/>
        <v>56.43</v>
      </c>
    </row>
    <row r="632" ht="26.25" customHeight="1" spans="1:14">
      <c r="A632" s="202"/>
      <c r="B632" s="203"/>
      <c r="C632" s="203" t="s">
        <v>526</v>
      </c>
      <c r="D632" s="200">
        <f t="shared" si="293"/>
        <v>495.290963</v>
      </c>
      <c r="E632" s="204">
        <f t="shared" si="294"/>
        <v>495.290963</v>
      </c>
      <c r="F632" s="205">
        <v>466.657079</v>
      </c>
      <c r="G632" s="205"/>
      <c r="H632" s="205">
        <v>28.633884</v>
      </c>
      <c r="I632" s="204">
        <f t="shared" si="295"/>
        <v>0</v>
      </c>
      <c r="J632" s="212"/>
      <c r="K632" s="205"/>
      <c r="L632" s="205"/>
      <c r="M632" s="213"/>
      <c r="N632" s="176">
        <f t="shared" si="285"/>
        <v>495.290963</v>
      </c>
    </row>
    <row r="633" ht="26.25" customHeight="1" spans="1:14">
      <c r="A633" s="202"/>
      <c r="B633" s="203"/>
      <c r="C633" s="203"/>
      <c r="D633" s="200">
        <f t="shared" si="293"/>
        <v>332.5</v>
      </c>
      <c r="E633" s="204">
        <f t="shared" si="294"/>
        <v>0</v>
      </c>
      <c r="F633" s="205"/>
      <c r="G633" s="205"/>
      <c r="H633" s="205"/>
      <c r="I633" s="204">
        <f t="shared" si="295"/>
        <v>332.5</v>
      </c>
      <c r="J633" s="212"/>
      <c r="K633" s="205"/>
      <c r="L633" s="205">
        <v>332.5</v>
      </c>
      <c r="M633" s="213" t="s">
        <v>822</v>
      </c>
      <c r="N633" s="176">
        <f t="shared" si="285"/>
        <v>0</v>
      </c>
    </row>
    <row r="634" ht="26.25" customHeight="1" spans="1:14">
      <c r="A634" s="217">
        <v>2050305</v>
      </c>
      <c r="B634" s="199" t="s">
        <v>823</v>
      </c>
      <c r="C634" s="203"/>
      <c r="D634" s="200">
        <f t="shared" si="293"/>
        <v>21.16</v>
      </c>
      <c r="E634" s="204">
        <f t="shared" si="294"/>
        <v>0</v>
      </c>
      <c r="F634" s="205"/>
      <c r="G634" s="205"/>
      <c r="H634" s="205"/>
      <c r="I634" s="204">
        <f t="shared" si="295"/>
        <v>21.16</v>
      </c>
      <c r="J634" s="212"/>
      <c r="K634" s="205"/>
      <c r="L634" s="205">
        <v>21.16</v>
      </c>
      <c r="M634" s="213" t="s">
        <v>824</v>
      </c>
      <c r="N634" s="176">
        <f t="shared" si="285"/>
        <v>0</v>
      </c>
    </row>
    <row r="635" ht="26.25" customHeight="1" spans="1:14">
      <c r="A635" s="198" t="s">
        <v>825</v>
      </c>
      <c r="B635" s="199" t="s">
        <v>826</v>
      </c>
      <c r="C635" s="199"/>
      <c r="D635" s="200">
        <f t="shared" ref="D635:L635" si="298">D636</f>
        <v>273.542486</v>
      </c>
      <c r="E635" s="200">
        <f t="shared" si="298"/>
        <v>273.542486</v>
      </c>
      <c r="F635" s="200">
        <f t="shared" si="298"/>
        <v>264.821126</v>
      </c>
      <c r="G635" s="200">
        <f t="shared" si="298"/>
        <v>0.1146</v>
      </c>
      <c r="H635" s="200">
        <f t="shared" si="298"/>
        <v>8.60676</v>
      </c>
      <c r="I635" s="200">
        <f t="shared" si="298"/>
        <v>0</v>
      </c>
      <c r="J635" s="200">
        <f t="shared" si="298"/>
        <v>0</v>
      </c>
      <c r="K635" s="200">
        <f t="shared" si="298"/>
        <v>0</v>
      </c>
      <c r="L635" s="200">
        <f t="shared" si="298"/>
        <v>0</v>
      </c>
      <c r="M635" s="211"/>
      <c r="N635" s="176">
        <f t="shared" si="285"/>
        <v>273.542486</v>
      </c>
    </row>
    <row r="636" ht="26.25" customHeight="1" spans="1:14">
      <c r="A636" s="198" t="s">
        <v>827</v>
      </c>
      <c r="B636" s="199" t="s">
        <v>828</v>
      </c>
      <c r="C636" s="199"/>
      <c r="D636" s="200">
        <f t="shared" ref="D636:L636" si="299">D637</f>
        <v>273.542486</v>
      </c>
      <c r="E636" s="200">
        <f t="shared" si="299"/>
        <v>273.542486</v>
      </c>
      <c r="F636" s="200">
        <f t="shared" si="299"/>
        <v>264.821126</v>
      </c>
      <c r="G636" s="200">
        <f t="shared" si="299"/>
        <v>0.1146</v>
      </c>
      <c r="H636" s="200">
        <f t="shared" si="299"/>
        <v>8.60676</v>
      </c>
      <c r="I636" s="200">
        <f t="shared" si="299"/>
        <v>0</v>
      </c>
      <c r="J636" s="200">
        <f t="shared" si="299"/>
        <v>0</v>
      </c>
      <c r="K636" s="200">
        <f t="shared" si="299"/>
        <v>0</v>
      </c>
      <c r="L636" s="200">
        <f t="shared" si="299"/>
        <v>0</v>
      </c>
      <c r="M636" s="211"/>
      <c r="N636" s="176">
        <f t="shared" si="285"/>
        <v>273.542486</v>
      </c>
    </row>
    <row r="637" ht="26.25" customHeight="1" spans="1:14">
      <c r="A637" s="202"/>
      <c r="B637" s="203"/>
      <c r="C637" s="203" t="s">
        <v>526</v>
      </c>
      <c r="D637" s="200">
        <f t="shared" ref="D637:D641" si="300">E637+I637</f>
        <v>273.542486</v>
      </c>
      <c r="E637" s="204">
        <f t="shared" ref="E637:E641" si="301">SUM(F637:H637)</f>
        <v>273.542486</v>
      </c>
      <c r="F637" s="205">
        <v>264.821126</v>
      </c>
      <c r="G637" s="205">
        <v>0.1146</v>
      </c>
      <c r="H637" s="205">
        <v>8.60676</v>
      </c>
      <c r="I637" s="204">
        <f t="shared" ref="I637:I641" si="302">SUM(J637:L637)</f>
        <v>0</v>
      </c>
      <c r="J637" s="212"/>
      <c r="K637" s="205"/>
      <c r="L637" s="205"/>
      <c r="M637" s="213"/>
      <c r="N637" s="176">
        <f t="shared" si="285"/>
        <v>273.542486</v>
      </c>
    </row>
    <row r="638" ht="26.25" customHeight="1" spans="1:14">
      <c r="A638" s="198" t="s">
        <v>829</v>
      </c>
      <c r="B638" s="199" t="s">
        <v>830</v>
      </c>
      <c r="C638" s="199"/>
      <c r="D638" s="200">
        <f t="shared" ref="D638:L638" si="303">D639</f>
        <v>249.685085</v>
      </c>
      <c r="E638" s="200">
        <f t="shared" si="303"/>
        <v>139.425085</v>
      </c>
      <c r="F638" s="200">
        <f t="shared" si="303"/>
        <v>121.030405</v>
      </c>
      <c r="G638" s="200">
        <f t="shared" si="303"/>
        <v>9.156</v>
      </c>
      <c r="H638" s="200">
        <f t="shared" si="303"/>
        <v>9.23868</v>
      </c>
      <c r="I638" s="200">
        <f t="shared" si="303"/>
        <v>110.26</v>
      </c>
      <c r="J638" s="200">
        <f t="shared" si="303"/>
        <v>110.26</v>
      </c>
      <c r="K638" s="200">
        <f t="shared" si="303"/>
        <v>0</v>
      </c>
      <c r="L638" s="200">
        <f t="shared" si="303"/>
        <v>0</v>
      </c>
      <c r="M638" s="211"/>
      <c r="N638" s="176">
        <f t="shared" si="285"/>
        <v>249.685085</v>
      </c>
    </row>
    <row r="639" ht="26.25" customHeight="1" spans="1:14">
      <c r="A639" s="198" t="s">
        <v>831</v>
      </c>
      <c r="B639" s="199" t="s">
        <v>832</v>
      </c>
      <c r="C639" s="199"/>
      <c r="D639" s="200">
        <f t="shared" ref="D639:L639" si="304">D640+D641</f>
        <v>249.685085</v>
      </c>
      <c r="E639" s="200">
        <f t="shared" si="304"/>
        <v>139.425085</v>
      </c>
      <c r="F639" s="200">
        <f t="shared" si="304"/>
        <v>121.030405</v>
      </c>
      <c r="G639" s="200">
        <f t="shared" si="304"/>
        <v>9.156</v>
      </c>
      <c r="H639" s="200">
        <f t="shared" si="304"/>
        <v>9.23868</v>
      </c>
      <c r="I639" s="200">
        <f t="shared" si="304"/>
        <v>110.26</v>
      </c>
      <c r="J639" s="200">
        <f t="shared" si="304"/>
        <v>110.26</v>
      </c>
      <c r="K639" s="200">
        <f t="shared" si="304"/>
        <v>0</v>
      </c>
      <c r="L639" s="200">
        <f t="shared" si="304"/>
        <v>0</v>
      </c>
      <c r="M639" s="211"/>
      <c r="N639" s="176">
        <f t="shared" si="285"/>
        <v>249.685085</v>
      </c>
    </row>
    <row r="640" ht="30" customHeight="1" spans="1:14">
      <c r="A640" s="202"/>
      <c r="B640" s="203"/>
      <c r="C640" s="203" t="s">
        <v>530</v>
      </c>
      <c r="D640" s="200">
        <f t="shared" si="300"/>
        <v>149.685085</v>
      </c>
      <c r="E640" s="204">
        <f t="shared" si="301"/>
        <v>139.425085</v>
      </c>
      <c r="F640" s="205">
        <v>121.030405</v>
      </c>
      <c r="G640" s="205">
        <v>9.156</v>
      </c>
      <c r="H640" s="205">
        <v>9.23868</v>
      </c>
      <c r="I640" s="204">
        <f t="shared" si="302"/>
        <v>10.26</v>
      </c>
      <c r="J640" s="212">
        <v>10.26</v>
      </c>
      <c r="K640" s="205"/>
      <c r="L640" s="205"/>
      <c r="M640" s="213" t="s">
        <v>833</v>
      </c>
      <c r="N640" s="176">
        <f t="shared" si="285"/>
        <v>149.685085</v>
      </c>
    </row>
    <row r="641" ht="26.25" customHeight="1" spans="1:14">
      <c r="A641" s="202"/>
      <c r="B641" s="203"/>
      <c r="C641" s="203"/>
      <c r="D641" s="200">
        <f t="shared" si="300"/>
        <v>100</v>
      </c>
      <c r="E641" s="204">
        <f t="shared" si="301"/>
        <v>0</v>
      </c>
      <c r="F641" s="205"/>
      <c r="G641" s="205"/>
      <c r="H641" s="205"/>
      <c r="I641" s="204">
        <f t="shared" si="302"/>
        <v>100</v>
      </c>
      <c r="J641" s="212">
        <v>100</v>
      </c>
      <c r="K641" s="205"/>
      <c r="L641" s="205"/>
      <c r="M641" s="213" t="s">
        <v>834</v>
      </c>
      <c r="N641" s="176">
        <f t="shared" si="285"/>
        <v>100</v>
      </c>
    </row>
    <row r="642" ht="26.25" customHeight="1" spans="1:14">
      <c r="A642" s="198" t="s">
        <v>835</v>
      </c>
      <c r="B642" s="199" t="s">
        <v>836</v>
      </c>
      <c r="C642" s="199"/>
      <c r="D642" s="200">
        <f t="shared" ref="D642:L642" si="305">D643</f>
        <v>10936.916</v>
      </c>
      <c r="E642" s="200">
        <f t="shared" si="305"/>
        <v>0</v>
      </c>
      <c r="F642" s="200">
        <f t="shared" si="305"/>
        <v>0</v>
      </c>
      <c r="G642" s="200">
        <f t="shared" si="305"/>
        <v>0</v>
      </c>
      <c r="H642" s="200">
        <f t="shared" si="305"/>
        <v>0</v>
      </c>
      <c r="I642" s="200">
        <f t="shared" si="305"/>
        <v>10936.916</v>
      </c>
      <c r="J642" s="200">
        <f t="shared" si="305"/>
        <v>845.676</v>
      </c>
      <c r="K642" s="200">
        <f t="shared" si="305"/>
        <v>0</v>
      </c>
      <c r="L642" s="200">
        <f t="shared" si="305"/>
        <v>10091.24</v>
      </c>
      <c r="M642" s="211"/>
      <c r="N642" s="176">
        <f t="shared" si="285"/>
        <v>845.676</v>
      </c>
    </row>
    <row r="643" ht="26.25" customHeight="1" spans="1:14">
      <c r="A643" s="198" t="s">
        <v>837</v>
      </c>
      <c r="B643" s="199" t="s">
        <v>838</v>
      </c>
      <c r="C643" s="199"/>
      <c r="D643" s="200">
        <f t="shared" ref="D643:L643" si="306">D644</f>
        <v>10936.916</v>
      </c>
      <c r="E643" s="200">
        <f t="shared" si="306"/>
        <v>0</v>
      </c>
      <c r="F643" s="200">
        <f t="shared" si="306"/>
        <v>0</v>
      </c>
      <c r="G643" s="200">
        <f t="shared" si="306"/>
        <v>0</v>
      </c>
      <c r="H643" s="200">
        <f t="shared" si="306"/>
        <v>0</v>
      </c>
      <c r="I643" s="200">
        <f t="shared" si="306"/>
        <v>10936.916</v>
      </c>
      <c r="J643" s="200">
        <f t="shared" si="306"/>
        <v>845.676</v>
      </c>
      <c r="K643" s="200">
        <f t="shared" si="306"/>
        <v>0</v>
      </c>
      <c r="L643" s="200">
        <f t="shared" si="306"/>
        <v>10091.24</v>
      </c>
      <c r="M643" s="211"/>
      <c r="N643" s="176">
        <f t="shared" si="285"/>
        <v>845.676</v>
      </c>
    </row>
    <row r="644" ht="37" customHeight="1" spans="1:14">
      <c r="A644" s="202"/>
      <c r="B644" s="203"/>
      <c r="C644" s="203" t="s">
        <v>526</v>
      </c>
      <c r="D644" s="200">
        <f t="shared" ref="D644:D648" si="307">E644+I644</f>
        <v>10936.916</v>
      </c>
      <c r="E644" s="204">
        <f t="shared" ref="E644:E648" si="308">SUM(F644:H644)</f>
        <v>0</v>
      </c>
      <c r="F644" s="205"/>
      <c r="G644" s="205"/>
      <c r="H644" s="205"/>
      <c r="I644" s="204">
        <f t="shared" ref="I644:I648" si="309">SUM(J644:L644)</f>
        <v>10936.916</v>
      </c>
      <c r="J644" s="212">
        <v>845.676</v>
      </c>
      <c r="K644" s="205"/>
      <c r="L644" s="205">
        <f>10940.64-849.4</f>
        <v>10091.24</v>
      </c>
      <c r="M644" s="213" t="s">
        <v>839</v>
      </c>
      <c r="N644" s="176">
        <f t="shared" si="285"/>
        <v>845.676</v>
      </c>
    </row>
    <row r="645" ht="26.25" customHeight="1" spans="1:14">
      <c r="A645" s="198" t="s">
        <v>840</v>
      </c>
      <c r="B645" s="199" t="s">
        <v>841</v>
      </c>
      <c r="C645" s="199"/>
      <c r="D645" s="200">
        <f t="shared" si="307"/>
        <v>376.828275</v>
      </c>
      <c r="E645" s="204">
        <f t="shared" si="308"/>
        <v>79.768275</v>
      </c>
      <c r="F645" s="204">
        <v>68.756275</v>
      </c>
      <c r="G645" s="204">
        <v>9.812</v>
      </c>
      <c r="H645" s="204">
        <v>1.2</v>
      </c>
      <c r="I645" s="204">
        <f t="shared" si="309"/>
        <v>297.06</v>
      </c>
      <c r="J645" s="216">
        <v>252.06</v>
      </c>
      <c r="K645" s="216">
        <f>K646+K649</f>
        <v>45</v>
      </c>
      <c r="L645" s="204"/>
      <c r="M645" s="211"/>
      <c r="N645" s="176">
        <f t="shared" si="285"/>
        <v>331.828275</v>
      </c>
    </row>
    <row r="646" ht="26.25" customHeight="1" spans="1:14">
      <c r="A646" s="198" t="s">
        <v>842</v>
      </c>
      <c r="B646" s="199" t="s">
        <v>843</v>
      </c>
      <c r="C646" s="199"/>
      <c r="D646" s="200">
        <f t="shared" ref="D646:L646" si="310">D647</f>
        <v>280</v>
      </c>
      <c r="E646" s="200">
        <f t="shared" si="310"/>
        <v>0</v>
      </c>
      <c r="F646" s="200">
        <f t="shared" si="310"/>
        <v>0</v>
      </c>
      <c r="G646" s="200">
        <f t="shared" si="310"/>
        <v>0</v>
      </c>
      <c r="H646" s="200">
        <f t="shared" si="310"/>
        <v>0</v>
      </c>
      <c r="I646" s="200">
        <f t="shared" si="310"/>
        <v>280</v>
      </c>
      <c r="J646" s="200">
        <f t="shared" si="310"/>
        <v>240</v>
      </c>
      <c r="K646" s="200">
        <f t="shared" si="310"/>
        <v>40</v>
      </c>
      <c r="L646" s="200">
        <f t="shared" si="310"/>
        <v>0</v>
      </c>
      <c r="M646" s="211"/>
      <c r="N646" s="176">
        <f t="shared" si="285"/>
        <v>240</v>
      </c>
    </row>
    <row r="647" ht="26.25" customHeight="1" spans="1:14">
      <c r="A647" s="198" t="s">
        <v>844</v>
      </c>
      <c r="B647" s="199" t="s">
        <v>845</v>
      </c>
      <c r="C647" s="199"/>
      <c r="D647" s="200">
        <f t="shared" ref="D647:L647" si="311">D648</f>
        <v>280</v>
      </c>
      <c r="E647" s="200">
        <f t="shared" si="311"/>
        <v>0</v>
      </c>
      <c r="F647" s="200">
        <f t="shared" si="311"/>
        <v>0</v>
      </c>
      <c r="G647" s="200">
        <f t="shared" si="311"/>
        <v>0</v>
      </c>
      <c r="H647" s="200">
        <f t="shared" si="311"/>
        <v>0</v>
      </c>
      <c r="I647" s="200">
        <f t="shared" si="311"/>
        <v>280</v>
      </c>
      <c r="J647" s="200">
        <f t="shared" si="311"/>
        <v>240</v>
      </c>
      <c r="K647" s="200">
        <f t="shared" si="311"/>
        <v>40</v>
      </c>
      <c r="L647" s="200">
        <f t="shared" si="311"/>
        <v>0</v>
      </c>
      <c r="M647" s="211"/>
      <c r="N647" s="176">
        <f t="shared" si="285"/>
        <v>240</v>
      </c>
    </row>
    <row r="648" ht="26.25" customHeight="1" spans="1:14">
      <c r="A648" s="202"/>
      <c r="B648" s="203"/>
      <c r="C648" s="203" t="s">
        <v>459</v>
      </c>
      <c r="D648" s="200">
        <f t="shared" si="307"/>
        <v>280</v>
      </c>
      <c r="E648" s="204">
        <f t="shared" si="308"/>
        <v>0</v>
      </c>
      <c r="F648" s="205"/>
      <c r="G648" s="205"/>
      <c r="H648" s="205"/>
      <c r="I648" s="204">
        <f t="shared" si="309"/>
        <v>280</v>
      </c>
      <c r="J648" s="212">
        <v>240</v>
      </c>
      <c r="K648" s="205">
        <v>40</v>
      </c>
      <c r="L648" s="205"/>
      <c r="M648" s="213" t="s">
        <v>846</v>
      </c>
      <c r="N648" s="176">
        <f t="shared" si="285"/>
        <v>240</v>
      </c>
    </row>
    <row r="649" ht="26.25" customHeight="1" spans="1:14">
      <c r="A649" s="198" t="s">
        <v>847</v>
      </c>
      <c r="B649" s="199" t="s">
        <v>848</v>
      </c>
      <c r="C649" s="199"/>
      <c r="D649" s="200">
        <f t="shared" ref="D649:L649" si="312">D650+D652</f>
        <v>96.828275</v>
      </c>
      <c r="E649" s="200">
        <f t="shared" si="312"/>
        <v>79.768275</v>
      </c>
      <c r="F649" s="200">
        <f t="shared" si="312"/>
        <v>68.756275</v>
      </c>
      <c r="G649" s="200">
        <f t="shared" si="312"/>
        <v>9.812</v>
      </c>
      <c r="H649" s="200">
        <f t="shared" si="312"/>
        <v>1.2</v>
      </c>
      <c r="I649" s="200">
        <f t="shared" si="312"/>
        <v>17.06</v>
      </c>
      <c r="J649" s="200">
        <f t="shared" si="312"/>
        <v>12.06</v>
      </c>
      <c r="K649" s="200">
        <f t="shared" si="312"/>
        <v>5</v>
      </c>
      <c r="L649" s="200">
        <f t="shared" si="312"/>
        <v>0</v>
      </c>
      <c r="M649" s="211"/>
      <c r="N649" s="176">
        <f t="shared" ref="N649:N669" si="313">J649+E649</f>
        <v>91.828275</v>
      </c>
    </row>
    <row r="650" ht="26.25" customHeight="1" spans="1:14">
      <c r="A650" s="198" t="s">
        <v>849</v>
      </c>
      <c r="B650" s="199" t="s">
        <v>850</v>
      </c>
      <c r="C650" s="199"/>
      <c r="D650" s="200">
        <f t="shared" ref="D650:L650" si="314">D651</f>
        <v>79.768275</v>
      </c>
      <c r="E650" s="200">
        <f t="shared" si="314"/>
        <v>79.768275</v>
      </c>
      <c r="F650" s="200">
        <f t="shared" si="314"/>
        <v>68.756275</v>
      </c>
      <c r="G650" s="200">
        <f t="shared" si="314"/>
        <v>9.812</v>
      </c>
      <c r="H650" s="200">
        <f t="shared" si="314"/>
        <v>1.2</v>
      </c>
      <c r="I650" s="200">
        <f t="shared" si="314"/>
        <v>0</v>
      </c>
      <c r="J650" s="200">
        <f t="shared" si="314"/>
        <v>0</v>
      </c>
      <c r="K650" s="200">
        <f t="shared" si="314"/>
        <v>0</v>
      </c>
      <c r="L650" s="200">
        <f t="shared" si="314"/>
        <v>0</v>
      </c>
      <c r="M650" s="211"/>
      <c r="N650" s="176">
        <f t="shared" si="313"/>
        <v>79.768275</v>
      </c>
    </row>
    <row r="651" ht="26.25" customHeight="1" spans="1:14">
      <c r="A651" s="202"/>
      <c r="B651" s="203"/>
      <c r="C651" s="203" t="s">
        <v>528</v>
      </c>
      <c r="D651" s="200">
        <f t="shared" ref="D651:D655" si="315">E651+I651</f>
        <v>79.768275</v>
      </c>
      <c r="E651" s="204">
        <f t="shared" ref="E651:E655" si="316">SUM(F651:H651)</f>
        <v>79.768275</v>
      </c>
      <c r="F651" s="205">
        <v>68.756275</v>
      </c>
      <c r="G651" s="205">
        <v>9.812</v>
      </c>
      <c r="H651" s="205">
        <v>1.2</v>
      </c>
      <c r="I651" s="204">
        <f t="shared" ref="I651:I653" si="317">SUM(J651:L651)</f>
        <v>0</v>
      </c>
      <c r="J651" s="212"/>
      <c r="K651" s="205"/>
      <c r="L651" s="205"/>
      <c r="M651" s="213"/>
      <c r="N651" s="176">
        <f t="shared" si="313"/>
        <v>79.768275</v>
      </c>
    </row>
    <row r="652" ht="26.25" customHeight="1" spans="1:14">
      <c r="A652" s="198" t="s">
        <v>851</v>
      </c>
      <c r="B652" s="199" t="s">
        <v>852</v>
      </c>
      <c r="C652" s="199"/>
      <c r="D652" s="200">
        <f t="shared" ref="D652:L652" si="318">D653</f>
        <v>17.06</v>
      </c>
      <c r="E652" s="200">
        <f t="shared" si="318"/>
        <v>0</v>
      </c>
      <c r="F652" s="200">
        <f t="shared" si="318"/>
        <v>0</v>
      </c>
      <c r="G652" s="200">
        <f t="shared" si="318"/>
        <v>0</v>
      </c>
      <c r="H652" s="200">
        <f t="shared" si="318"/>
        <v>0</v>
      </c>
      <c r="I652" s="200">
        <f t="shared" si="318"/>
        <v>17.06</v>
      </c>
      <c r="J652" s="200">
        <f t="shared" si="318"/>
        <v>12.06</v>
      </c>
      <c r="K652" s="200">
        <f t="shared" si="318"/>
        <v>5</v>
      </c>
      <c r="L652" s="200">
        <f t="shared" si="318"/>
        <v>0</v>
      </c>
      <c r="M652" s="211"/>
      <c r="N652" s="176">
        <f t="shared" si="313"/>
        <v>12.06</v>
      </c>
    </row>
    <row r="653" ht="26.25" customHeight="1" spans="1:14">
      <c r="A653" s="202"/>
      <c r="B653" s="203"/>
      <c r="C653" s="203" t="s">
        <v>528</v>
      </c>
      <c r="D653" s="200">
        <f t="shared" si="315"/>
        <v>17.06</v>
      </c>
      <c r="E653" s="204">
        <f t="shared" si="316"/>
        <v>0</v>
      </c>
      <c r="F653" s="205"/>
      <c r="G653" s="205"/>
      <c r="H653" s="205"/>
      <c r="I653" s="204">
        <f t="shared" si="317"/>
        <v>17.06</v>
      </c>
      <c r="J653" s="212">
        <v>12.06</v>
      </c>
      <c r="K653" s="205">
        <v>5</v>
      </c>
      <c r="L653" s="205"/>
      <c r="M653" s="213" t="s">
        <v>853</v>
      </c>
      <c r="N653" s="176">
        <f t="shared" si="313"/>
        <v>12.06</v>
      </c>
    </row>
    <row r="654" ht="26.25" customHeight="1" spans="1:14">
      <c r="A654" s="198" t="s">
        <v>854</v>
      </c>
      <c r="B654" s="199" t="s">
        <v>855</v>
      </c>
      <c r="C654" s="199"/>
      <c r="D654" s="200">
        <f t="shared" ref="D654:L654" si="319">SUM(D655,D675,D682,D690,D695)</f>
        <v>2862.172877</v>
      </c>
      <c r="E654" s="200">
        <f t="shared" si="319"/>
        <v>1170.008477</v>
      </c>
      <c r="F654" s="200">
        <f t="shared" si="319"/>
        <v>1007.641857</v>
      </c>
      <c r="G654" s="200">
        <f t="shared" si="319"/>
        <v>47.2775</v>
      </c>
      <c r="H654" s="200">
        <f t="shared" si="319"/>
        <v>115.08912</v>
      </c>
      <c r="I654" s="200">
        <f t="shared" si="319"/>
        <v>1692.1644</v>
      </c>
      <c r="J654" s="200">
        <f t="shared" si="319"/>
        <v>560.94</v>
      </c>
      <c r="K654" s="200">
        <f t="shared" si="319"/>
        <v>602.5444</v>
      </c>
      <c r="L654" s="200">
        <f t="shared" si="319"/>
        <v>528.68</v>
      </c>
      <c r="M654" s="211"/>
      <c r="N654" s="176">
        <f t="shared" si="313"/>
        <v>1730.948477</v>
      </c>
    </row>
    <row r="655" ht="26.25" customHeight="1" spans="1:14">
      <c r="A655" s="198" t="s">
        <v>856</v>
      </c>
      <c r="B655" s="199" t="s">
        <v>857</v>
      </c>
      <c r="C655" s="199"/>
      <c r="D655" s="200">
        <f t="shared" si="315"/>
        <v>1175.767184</v>
      </c>
      <c r="E655" s="204">
        <f t="shared" si="316"/>
        <v>718.607184</v>
      </c>
      <c r="F655" s="204">
        <v>664.213424</v>
      </c>
      <c r="G655" s="204">
        <v>36.7</v>
      </c>
      <c r="H655" s="204">
        <v>17.69376</v>
      </c>
      <c r="I655" s="204">
        <f>SUM(J655:L655)</f>
        <v>457.16</v>
      </c>
      <c r="J655" s="216">
        <v>294.4</v>
      </c>
      <c r="K655" s="204">
        <f>K656+K659+K661+K663+K665+K667+K671+K673</f>
        <v>162.76</v>
      </c>
      <c r="L655" s="204">
        <f>L656+L659+L661+L663+L665+L667+L671+L673</f>
        <v>0</v>
      </c>
      <c r="M655" s="211"/>
      <c r="N655" s="176">
        <f t="shared" si="313"/>
        <v>1013.007184</v>
      </c>
    </row>
    <row r="656" ht="26.25" customHeight="1" spans="1:14">
      <c r="A656" s="198" t="s">
        <v>858</v>
      </c>
      <c r="B656" s="199" t="s">
        <v>295</v>
      </c>
      <c r="C656" s="199"/>
      <c r="D656" s="200">
        <f t="shared" ref="D656:L656" si="320">SUM(D657:D658)</f>
        <v>279.182511</v>
      </c>
      <c r="E656" s="200">
        <f t="shared" si="320"/>
        <v>242.322511</v>
      </c>
      <c r="F656" s="200">
        <f t="shared" si="320"/>
        <v>207.465151</v>
      </c>
      <c r="G656" s="200">
        <f t="shared" si="320"/>
        <v>22.32</v>
      </c>
      <c r="H656" s="200">
        <f t="shared" si="320"/>
        <v>12.53736</v>
      </c>
      <c r="I656" s="200">
        <f t="shared" si="320"/>
        <v>36.86</v>
      </c>
      <c r="J656" s="200">
        <f t="shared" si="320"/>
        <v>36.86</v>
      </c>
      <c r="K656" s="200">
        <f t="shared" si="320"/>
        <v>0</v>
      </c>
      <c r="L656" s="200">
        <f t="shared" si="320"/>
        <v>0</v>
      </c>
      <c r="M656" s="211"/>
      <c r="N656" s="176">
        <f t="shared" si="313"/>
        <v>279.182511</v>
      </c>
    </row>
    <row r="657" ht="26.25" customHeight="1" spans="1:14">
      <c r="A657" s="202"/>
      <c r="B657" s="203"/>
      <c r="C657" s="203" t="s">
        <v>525</v>
      </c>
      <c r="D657" s="200">
        <f t="shared" ref="D657:D660" si="321">E657+I657</f>
        <v>26.579854</v>
      </c>
      <c r="E657" s="204">
        <f t="shared" ref="E657:E660" si="322">SUM(F657:H657)</f>
        <v>20.179854</v>
      </c>
      <c r="F657" s="205">
        <v>19.429854</v>
      </c>
      <c r="G657" s="205">
        <v>0.75</v>
      </c>
      <c r="H657" s="205"/>
      <c r="I657" s="204">
        <f t="shared" ref="I657:I660" si="323">SUM(J657:L657)</f>
        <v>6.4</v>
      </c>
      <c r="J657" s="212">
        <v>6.4</v>
      </c>
      <c r="K657" s="205"/>
      <c r="L657" s="205"/>
      <c r="M657" s="213" t="s">
        <v>859</v>
      </c>
      <c r="N657" s="176">
        <f t="shared" si="313"/>
        <v>26.579854</v>
      </c>
    </row>
    <row r="658" ht="26.25" customHeight="1" spans="1:14">
      <c r="A658" s="202"/>
      <c r="B658" s="203"/>
      <c r="C658" s="203" t="s">
        <v>527</v>
      </c>
      <c r="D658" s="200">
        <f t="shared" si="321"/>
        <v>252.602657</v>
      </c>
      <c r="E658" s="204">
        <f t="shared" si="322"/>
        <v>222.142657</v>
      </c>
      <c r="F658" s="205">
        <v>188.035297</v>
      </c>
      <c r="G658" s="205">
        <v>21.57</v>
      </c>
      <c r="H658" s="205">
        <v>12.53736</v>
      </c>
      <c r="I658" s="204">
        <f t="shared" si="323"/>
        <v>30.46</v>
      </c>
      <c r="J658" s="212">
        <v>30.46</v>
      </c>
      <c r="K658" s="205"/>
      <c r="L658" s="205"/>
      <c r="M658" s="213" t="s">
        <v>860</v>
      </c>
      <c r="N658" s="176">
        <f t="shared" si="313"/>
        <v>252.602657</v>
      </c>
    </row>
    <row r="659" ht="26.25" customHeight="1" spans="1:14">
      <c r="A659" s="198" t="s">
        <v>861</v>
      </c>
      <c r="B659" s="199" t="s">
        <v>382</v>
      </c>
      <c r="C659" s="199"/>
      <c r="D659" s="200">
        <f t="shared" ref="D659:L659" si="324">D660</f>
        <v>200</v>
      </c>
      <c r="E659" s="200">
        <f t="shared" si="324"/>
        <v>0</v>
      </c>
      <c r="F659" s="200">
        <f t="shared" si="324"/>
        <v>0</v>
      </c>
      <c r="G659" s="200">
        <f t="shared" si="324"/>
        <v>0</v>
      </c>
      <c r="H659" s="200">
        <f t="shared" si="324"/>
        <v>0</v>
      </c>
      <c r="I659" s="200">
        <f t="shared" si="324"/>
        <v>200</v>
      </c>
      <c r="J659" s="200">
        <f t="shared" si="324"/>
        <v>200</v>
      </c>
      <c r="K659" s="200">
        <f t="shared" si="324"/>
        <v>0</v>
      </c>
      <c r="L659" s="200">
        <f t="shared" si="324"/>
        <v>0</v>
      </c>
      <c r="M659" s="211"/>
      <c r="N659" s="176">
        <f t="shared" si="313"/>
        <v>200</v>
      </c>
    </row>
    <row r="660" ht="26.25" customHeight="1" spans="1:14">
      <c r="A660" s="202"/>
      <c r="B660" s="203"/>
      <c r="C660" s="203" t="s">
        <v>527</v>
      </c>
      <c r="D660" s="200">
        <f t="shared" si="321"/>
        <v>200</v>
      </c>
      <c r="E660" s="204">
        <f t="shared" si="322"/>
        <v>0</v>
      </c>
      <c r="F660" s="205"/>
      <c r="G660" s="205"/>
      <c r="H660" s="205"/>
      <c r="I660" s="204">
        <f t="shared" si="323"/>
        <v>200</v>
      </c>
      <c r="J660" s="212">
        <v>200</v>
      </c>
      <c r="K660" s="205"/>
      <c r="L660" s="205"/>
      <c r="M660" s="213" t="s">
        <v>862</v>
      </c>
      <c r="N660" s="176">
        <f t="shared" si="313"/>
        <v>200</v>
      </c>
    </row>
    <row r="661" ht="26.25" customHeight="1" spans="1:14">
      <c r="A661" s="198" t="s">
        <v>863</v>
      </c>
      <c r="B661" s="199" t="s">
        <v>864</v>
      </c>
      <c r="C661" s="199"/>
      <c r="D661" s="200">
        <f t="shared" ref="D661:L661" si="325">D662</f>
        <v>76.462318</v>
      </c>
      <c r="E661" s="200">
        <f t="shared" si="325"/>
        <v>63.942318</v>
      </c>
      <c r="F661" s="200">
        <f t="shared" si="325"/>
        <v>58.561918</v>
      </c>
      <c r="G661" s="200">
        <f t="shared" si="325"/>
        <v>2.63</v>
      </c>
      <c r="H661" s="200">
        <f t="shared" si="325"/>
        <v>2.7504</v>
      </c>
      <c r="I661" s="200">
        <f t="shared" si="325"/>
        <v>12.52</v>
      </c>
      <c r="J661" s="200">
        <f t="shared" si="325"/>
        <v>12.52</v>
      </c>
      <c r="K661" s="200">
        <f t="shared" si="325"/>
        <v>0</v>
      </c>
      <c r="L661" s="200">
        <f t="shared" si="325"/>
        <v>0</v>
      </c>
      <c r="M661" s="211"/>
      <c r="N661" s="176">
        <f t="shared" si="313"/>
        <v>76.462318</v>
      </c>
    </row>
    <row r="662" ht="54" customHeight="1" spans="1:14">
      <c r="A662" s="202"/>
      <c r="B662" s="203"/>
      <c r="C662" s="203" t="s">
        <v>527</v>
      </c>
      <c r="D662" s="200">
        <f t="shared" ref="D662:D666" si="326">E662+I662</f>
        <v>76.462318</v>
      </c>
      <c r="E662" s="204">
        <f t="shared" ref="E662:E666" si="327">SUM(F662:H662)</f>
        <v>63.942318</v>
      </c>
      <c r="F662" s="205">
        <v>58.561918</v>
      </c>
      <c r="G662" s="205">
        <v>2.63</v>
      </c>
      <c r="H662" s="205">
        <v>2.7504</v>
      </c>
      <c r="I662" s="204">
        <f t="shared" ref="I662:I666" si="328">SUM(J662:L662)</f>
        <v>12.52</v>
      </c>
      <c r="J662" s="212">
        <v>12.52</v>
      </c>
      <c r="K662" s="205"/>
      <c r="L662" s="205"/>
      <c r="M662" s="213" t="s">
        <v>865</v>
      </c>
      <c r="N662" s="176">
        <f t="shared" si="313"/>
        <v>76.462318</v>
      </c>
    </row>
    <row r="663" ht="26.25" customHeight="1" spans="1:14">
      <c r="A663" s="198" t="s">
        <v>866</v>
      </c>
      <c r="B663" s="199" t="s">
        <v>867</v>
      </c>
      <c r="C663" s="199"/>
      <c r="D663" s="200">
        <f t="shared" ref="D663:L663" si="329">D664</f>
        <v>197.010728</v>
      </c>
      <c r="E663" s="200">
        <f t="shared" si="329"/>
        <v>189.010728</v>
      </c>
      <c r="F663" s="200">
        <f t="shared" si="329"/>
        <v>182.650728</v>
      </c>
      <c r="G663" s="200">
        <f t="shared" si="329"/>
        <v>4.56</v>
      </c>
      <c r="H663" s="200">
        <f t="shared" si="329"/>
        <v>1.8</v>
      </c>
      <c r="I663" s="200">
        <f t="shared" si="329"/>
        <v>8</v>
      </c>
      <c r="J663" s="200">
        <f t="shared" si="329"/>
        <v>8</v>
      </c>
      <c r="K663" s="200">
        <f t="shared" si="329"/>
        <v>0</v>
      </c>
      <c r="L663" s="200">
        <f t="shared" si="329"/>
        <v>0</v>
      </c>
      <c r="M663" s="211"/>
      <c r="N663" s="176">
        <f t="shared" si="313"/>
        <v>197.010728</v>
      </c>
    </row>
    <row r="664" ht="26.25" customHeight="1" spans="1:14">
      <c r="A664" s="202"/>
      <c r="B664" s="203"/>
      <c r="C664" s="203" t="s">
        <v>527</v>
      </c>
      <c r="D664" s="200">
        <f t="shared" si="326"/>
        <v>197.010728</v>
      </c>
      <c r="E664" s="204">
        <f t="shared" si="327"/>
        <v>189.010728</v>
      </c>
      <c r="F664" s="205">
        <v>182.650728</v>
      </c>
      <c r="G664" s="205">
        <v>4.56</v>
      </c>
      <c r="H664" s="205">
        <v>1.8</v>
      </c>
      <c r="I664" s="204">
        <f t="shared" si="328"/>
        <v>8</v>
      </c>
      <c r="J664" s="212">
        <v>8</v>
      </c>
      <c r="K664" s="205"/>
      <c r="L664" s="205"/>
      <c r="M664" s="213" t="s">
        <v>868</v>
      </c>
      <c r="N664" s="176">
        <f t="shared" si="313"/>
        <v>197.010728</v>
      </c>
    </row>
    <row r="665" ht="26.25" customHeight="1" spans="1:14">
      <c r="A665" s="198" t="s">
        <v>869</v>
      </c>
      <c r="B665" s="199" t="s">
        <v>870</v>
      </c>
      <c r="C665" s="199"/>
      <c r="D665" s="200">
        <f t="shared" ref="D665:L665" si="330">D666</f>
        <v>10</v>
      </c>
      <c r="E665" s="200">
        <f t="shared" si="330"/>
        <v>0</v>
      </c>
      <c r="F665" s="200">
        <f t="shared" si="330"/>
        <v>0</v>
      </c>
      <c r="G665" s="200">
        <f t="shared" si="330"/>
        <v>0</v>
      </c>
      <c r="H665" s="200">
        <f t="shared" si="330"/>
        <v>0</v>
      </c>
      <c r="I665" s="200">
        <f t="shared" si="330"/>
        <v>10</v>
      </c>
      <c r="J665" s="200">
        <f t="shared" si="330"/>
        <v>10</v>
      </c>
      <c r="K665" s="200">
        <f t="shared" si="330"/>
        <v>0</v>
      </c>
      <c r="L665" s="200">
        <f t="shared" si="330"/>
        <v>0</v>
      </c>
      <c r="M665" s="211"/>
      <c r="N665" s="176">
        <f t="shared" si="313"/>
        <v>10</v>
      </c>
    </row>
    <row r="666" ht="26.25" customHeight="1" spans="1:14">
      <c r="A666" s="202"/>
      <c r="B666" s="203"/>
      <c r="C666" s="203" t="s">
        <v>527</v>
      </c>
      <c r="D666" s="200">
        <f t="shared" si="326"/>
        <v>10</v>
      </c>
      <c r="E666" s="204">
        <f t="shared" si="327"/>
        <v>0</v>
      </c>
      <c r="F666" s="205"/>
      <c r="G666" s="205"/>
      <c r="H666" s="205"/>
      <c r="I666" s="204">
        <f t="shared" si="328"/>
        <v>10</v>
      </c>
      <c r="J666" s="212">
        <v>10</v>
      </c>
      <c r="K666" s="205"/>
      <c r="L666" s="205"/>
      <c r="M666" s="213" t="s">
        <v>871</v>
      </c>
      <c r="N666" s="176">
        <f t="shared" si="313"/>
        <v>10</v>
      </c>
    </row>
    <row r="667" ht="26.25" customHeight="1" spans="1:14">
      <c r="A667" s="198" t="s">
        <v>872</v>
      </c>
      <c r="B667" s="199" t="s">
        <v>873</v>
      </c>
      <c r="C667" s="199"/>
      <c r="D667" s="200">
        <f>SUM(D668:D670)</f>
        <v>245.447193</v>
      </c>
      <c r="E667" s="200">
        <f t="shared" ref="D667:L667" si="331">SUM(E668:E670)</f>
        <v>223.327193</v>
      </c>
      <c r="F667" s="200">
        <f t="shared" si="331"/>
        <v>215.531193</v>
      </c>
      <c r="G667" s="200">
        <f t="shared" si="331"/>
        <v>7.19</v>
      </c>
      <c r="H667" s="200">
        <f t="shared" si="331"/>
        <v>0.606</v>
      </c>
      <c r="I667" s="200">
        <f t="shared" si="331"/>
        <v>22.12</v>
      </c>
      <c r="J667" s="200">
        <f t="shared" si="331"/>
        <v>22.12</v>
      </c>
      <c r="K667" s="200">
        <f t="shared" si="331"/>
        <v>0</v>
      </c>
      <c r="L667" s="200">
        <f t="shared" si="331"/>
        <v>0</v>
      </c>
      <c r="M667" s="211"/>
      <c r="N667" s="176">
        <f t="shared" si="313"/>
        <v>245.447193</v>
      </c>
    </row>
    <row r="668" ht="26.25" customHeight="1" spans="1:14">
      <c r="A668" s="202"/>
      <c r="B668" s="203"/>
      <c r="C668" s="203" t="s">
        <v>527</v>
      </c>
      <c r="D668" s="200">
        <f>E668+I668</f>
        <v>5</v>
      </c>
      <c r="E668" s="204">
        <f>SUM(F668:H668)</f>
        <v>0</v>
      </c>
      <c r="F668" s="205"/>
      <c r="G668" s="205"/>
      <c r="H668" s="205"/>
      <c r="I668" s="204">
        <f>SUM(J668:L668)</f>
        <v>5</v>
      </c>
      <c r="J668" s="212">
        <v>5</v>
      </c>
      <c r="K668" s="205"/>
      <c r="L668" s="205"/>
      <c r="M668" s="213" t="s">
        <v>874</v>
      </c>
      <c r="N668" s="176">
        <f t="shared" si="313"/>
        <v>5</v>
      </c>
    </row>
    <row r="669" ht="31" customHeight="1" spans="1:14">
      <c r="A669" s="202"/>
      <c r="B669" s="203"/>
      <c r="C669" s="203" t="s">
        <v>527</v>
      </c>
      <c r="D669" s="200">
        <f>E669+I669</f>
        <v>79.659086</v>
      </c>
      <c r="E669" s="204">
        <f>SUM(F669:H669)</f>
        <v>62.539086</v>
      </c>
      <c r="F669" s="205">
        <v>59.309086</v>
      </c>
      <c r="G669" s="205">
        <v>2.63</v>
      </c>
      <c r="H669" s="205">
        <v>0.6</v>
      </c>
      <c r="I669" s="204">
        <f>SUM(J669:L669)</f>
        <v>17.12</v>
      </c>
      <c r="J669" s="212">
        <v>17.12</v>
      </c>
      <c r="K669" s="205"/>
      <c r="L669" s="205"/>
      <c r="M669" s="213" t="s">
        <v>875</v>
      </c>
      <c r="N669" s="176">
        <f t="shared" si="313"/>
        <v>79.659086</v>
      </c>
    </row>
    <row r="670" ht="26.25" customHeight="1" spans="1:13">
      <c r="A670" s="202"/>
      <c r="B670" s="203"/>
      <c r="C670" s="203" t="s">
        <v>876</v>
      </c>
      <c r="D670" s="200">
        <f>E670+I670</f>
        <v>160.788107</v>
      </c>
      <c r="E670" s="204">
        <f>SUM(F670:H670)</f>
        <v>160.788107</v>
      </c>
      <c r="F670" s="205">
        <v>156.222107</v>
      </c>
      <c r="G670" s="205">
        <v>4.56</v>
      </c>
      <c r="H670" s="205">
        <v>0.006</v>
      </c>
      <c r="I670" s="204">
        <f>SUM(J670:L670)</f>
        <v>0</v>
      </c>
      <c r="J670" s="205"/>
      <c r="K670" s="205"/>
      <c r="L670" s="205"/>
      <c r="M670" s="213"/>
    </row>
    <row r="671" ht="26.25" customHeight="1" spans="1:14">
      <c r="A671" s="198" t="s">
        <v>877</v>
      </c>
      <c r="B671" s="199" t="s">
        <v>878</v>
      </c>
      <c r="C671" s="199"/>
      <c r="D671" s="200">
        <f t="shared" ref="D671:L671" si="332">D672</f>
        <v>2.5</v>
      </c>
      <c r="E671" s="200">
        <f t="shared" si="332"/>
        <v>0</v>
      </c>
      <c r="F671" s="200">
        <f t="shared" si="332"/>
        <v>0</v>
      </c>
      <c r="G671" s="200">
        <f t="shared" si="332"/>
        <v>0</v>
      </c>
      <c r="H671" s="200">
        <f t="shared" si="332"/>
        <v>0</v>
      </c>
      <c r="I671" s="200">
        <f t="shared" si="332"/>
        <v>2.5</v>
      </c>
      <c r="J671" s="200">
        <f t="shared" si="332"/>
        <v>2.5</v>
      </c>
      <c r="K671" s="200">
        <f t="shared" si="332"/>
        <v>0</v>
      </c>
      <c r="L671" s="200">
        <f t="shared" si="332"/>
        <v>0</v>
      </c>
      <c r="M671" s="211"/>
      <c r="N671" s="176">
        <f t="shared" ref="N671:N708" si="333">J671+E671</f>
        <v>2.5</v>
      </c>
    </row>
    <row r="672" ht="26.25" customHeight="1" spans="1:14">
      <c r="A672" s="202"/>
      <c r="B672" s="203"/>
      <c r="C672" s="203" t="s">
        <v>527</v>
      </c>
      <c r="D672" s="200">
        <f t="shared" ref="D672:D677" si="334">E672+I672</f>
        <v>2.5</v>
      </c>
      <c r="E672" s="204">
        <f t="shared" ref="E672:E677" si="335">SUM(F672:H672)</f>
        <v>0</v>
      </c>
      <c r="F672" s="205"/>
      <c r="G672" s="205"/>
      <c r="H672" s="205"/>
      <c r="I672" s="204">
        <f t="shared" ref="I672:I677" si="336">SUM(J672:L672)</f>
        <v>2.5</v>
      </c>
      <c r="J672" s="212">
        <v>2.5</v>
      </c>
      <c r="K672" s="205"/>
      <c r="L672" s="205"/>
      <c r="M672" s="213" t="s">
        <v>879</v>
      </c>
      <c r="N672" s="176">
        <f t="shared" si="333"/>
        <v>2.5</v>
      </c>
    </row>
    <row r="673" ht="26.25" customHeight="1" spans="1:14">
      <c r="A673" s="198" t="s">
        <v>880</v>
      </c>
      <c r="B673" s="199" t="s">
        <v>881</v>
      </c>
      <c r="C673" s="199"/>
      <c r="D673" s="200">
        <f t="shared" ref="D673:L673" si="337">D674</f>
        <v>165.16</v>
      </c>
      <c r="E673" s="200">
        <f t="shared" si="337"/>
        <v>0</v>
      </c>
      <c r="F673" s="200">
        <f t="shared" si="337"/>
        <v>0</v>
      </c>
      <c r="G673" s="200">
        <f t="shared" si="337"/>
        <v>0</v>
      </c>
      <c r="H673" s="200">
        <f t="shared" si="337"/>
        <v>0</v>
      </c>
      <c r="I673" s="200">
        <f t="shared" si="337"/>
        <v>165.16</v>
      </c>
      <c r="J673" s="200">
        <f t="shared" si="337"/>
        <v>2.4</v>
      </c>
      <c r="K673" s="200">
        <f t="shared" si="337"/>
        <v>162.76</v>
      </c>
      <c r="L673" s="200">
        <f t="shared" si="337"/>
        <v>0</v>
      </c>
      <c r="M673" s="211"/>
      <c r="N673" s="176">
        <f t="shared" si="333"/>
        <v>2.4</v>
      </c>
    </row>
    <row r="674" ht="26.25" customHeight="1" spans="1:14">
      <c r="A674" s="202"/>
      <c r="B674" s="203"/>
      <c r="C674" s="203" t="s">
        <v>527</v>
      </c>
      <c r="D674" s="200">
        <f t="shared" si="334"/>
        <v>165.16</v>
      </c>
      <c r="E674" s="204">
        <f t="shared" si="335"/>
        <v>0</v>
      </c>
      <c r="F674" s="205"/>
      <c r="G674" s="205"/>
      <c r="H674" s="205"/>
      <c r="I674" s="204">
        <f t="shared" si="336"/>
        <v>165.16</v>
      </c>
      <c r="J674" s="212">
        <v>2.4</v>
      </c>
      <c r="K674" s="205">
        <v>162.76</v>
      </c>
      <c r="L674" s="205"/>
      <c r="M674" s="213" t="s">
        <v>882</v>
      </c>
      <c r="N674" s="176">
        <f t="shared" si="333"/>
        <v>2.4</v>
      </c>
    </row>
    <row r="675" ht="26.25" customHeight="1" spans="1:14">
      <c r="A675" s="198" t="s">
        <v>883</v>
      </c>
      <c r="B675" s="199" t="s">
        <v>884</v>
      </c>
      <c r="C675" s="199"/>
      <c r="D675" s="200">
        <f t="shared" ref="D675:L675" si="338">D676+D678+D680</f>
        <v>361.928116</v>
      </c>
      <c r="E675" s="200">
        <f t="shared" si="338"/>
        <v>72.038116</v>
      </c>
      <c r="F675" s="200">
        <f t="shared" si="338"/>
        <v>68.170616</v>
      </c>
      <c r="G675" s="200">
        <f t="shared" si="338"/>
        <v>3.8675</v>
      </c>
      <c r="H675" s="200">
        <f t="shared" si="338"/>
        <v>0</v>
      </c>
      <c r="I675" s="200">
        <f t="shared" si="338"/>
        <v>289.89</v>
      </c>
      <c r="J675" s="200">
        <f t="shared" si="338"/>
        <v>20.44</v>
      </c>
      <c r="K675" s="200">
        <f t="shared" si="338"/>
        <v>269.45</v>
      </c>
      <c r="L675" s="200">
        <f t="shared" si="338"/>
        <v>0</v>
      </c>
      <c r="M675" s="211"/>
      <c r="N675" s="176">
        <f t="shared" si="333"/>
        <v>92.478116</v>
      </c>
    </row>
    <row r="676" ht="26.25" customHeight="1" spans="1:14">
      <c r="A676" s="198" t="s">
        <v>885</v>
      </c>
      <c r="B676" s="199" t="s">
        <v>886</v>
      </c>
      <c r="C676" s="199"/>
      <c r="D676" s="200">
        <f t="shared" ref="D676:L676" si="339">D677</f>
        <v>58.79</v>
      </c>
      <c r="E676" s="200">
        <f t="shared" si="339"/>
        <v>0</v>
      </c>
      <c r="F676" s="200">
        <f t="shared" si="339"/>
        <v>0</v>
      </c>
      <c r="G676" s="200">
        <f t="shared" si="339"/>
        <v>0</v>
      </c>
      <c r="H676" s="200">
        <f t="shared" si="339"/>
        <v>0</v>
      </c>
      <c r="I676" s="200">
        <f t="shared" si="339"/>
        <v>58.79</v>
      </c>
      <c r="J676" s="200">
        <f t="shared" si="339"/>
        <v>8.36</v>
      </c>
      <c r="K676" s="200">
        <f t="shared" si="339"/>
        <v>50.43</v>
      </c>
      <c r="L676" s="200">
        <f t="shared" si="339"/>
        <v>0</v>
      </c>
      <c r="M676" s="211"/>
      <c r="N676" s="176">
        <f t="shared" si="333"/>
        <v>8.36</v>
      </c>
    </row>
    <row r="677" ht="26.25" customHeight="1" spans="1:14">
      <c r="A677" s="202"/>
      <c r="B677" s="203"/>
      <c r="C677" s="203" t="s">
        <v>527</v>
      </c>
      <c r="D677" s="200">
        <f t="shared" si="334"/>
        <v>58.79</v>
      </c>
      <c r="E677" s="204">
        <f t="shared" si="335"/>
        <v>0</v>
      </c>
      <c r="F677" s="205"/>
      <c r="G677" s="205"/>
      <c r="H677" s="205"/>
      <c r="I677" s="204">
        <f t="shared" si="336"/>
        <v>58.79</v>
      </c>
      <c r="J677" s="212">
        <v>8.36</v>
      </c>
      <c r="K677" s="205">
        <v>50.43</v>
      </c>
      <c r="L677" s="205"/>
      <c r="M677" s="213" t="s">
        <v>887</v>
      </c>
      <c r="N677" s="176">
        <f t="shared" si="333"/>
        <v>8.36</v>
      </c>
    </row>
    <row r="678" ht="26.25" customHeight="1" spans="1:14">
      <c r="A678" s="198" t="s">
        <v>888</v>
      </c>
      <c r="B678" s="199" t="s">
        <v>889</v>
      </c>
      <c r="C678" s="199"/>
      <c r="D678" s="200">
        <f t="shared" ref="D678:L678" si="340">D679</f>
        <v>176.6</v>
      </c>
      <c r="E678" s="200">
        <f t="shared" si="340"/>
        <v>0</v>
      </c>
      <c r="F678" s="200">
        <f t="shared" si="340"/>
        <v>0</v>
      </c>
      <c r="G678" s="200">
        <f t="shared" si="340"/>
        <v>0</v>
      </c>
      <c r="H678" s="200">
        <f t="shared" si="340"/>
        <v>0</v>
      </c>
      <c r="I678" s="200">
        <f t="shared" si="340"/>
        <v>176.6</v>
      </c>
      <c r="J678" s="200">
        <f t="shared" si="340"/>
        <v>10.08</v>
      </c>
      <c r="K678" s="200">
        <f t="shared" si="340"/>
        <v>166.52</v>
      </c>
      <c r="L678" s="200">
        <f t="shared" si="340"/>
        <v>0</v>
      </c>
      <c r="M678" s="211"/>
      <c r="N678" s="176">
        <f t="shared" si="333"/>
        <v>10.08</v>
      </c>
    </row>
    <row r="679" ht="26.25" customHeight="1" spans="1:14">
      <c r="A679" s="202"/>
      <c r="B679" s="203"/>
      <c r="C679" s="203" t="s">
        <v>527</v>
      </c>
      <c r="D679" s="200">
        <f t="shared" ref="D679:D685" si="341">E679+I679</f>
        <v>176.6</v>
      </c>
      <c r="E679" s="204">
        <f t="shared" ref="E679:E685" si="342">SUM(F679:H679)</f>
        <v>0</v>
      </c>
      <c r="F679" s="205"/>
      <c r="G679" s="205"/>
      <c r="H679" s="205"/>
      <c r="I679" s="204">
        <f t="shared" ref="I679:I685" si="343">SUM(J679:L679)</f>
        <v>176.6</v>
      </c>
      <c r="J679" s="212">
        <v>10.08</v>
      </c>
      <c r="K679" s="205">
        <v>166.52</v>
      </c>
      <c r="L679" s="205"/>
      <c r="M679" s="213" t="s">
        <v>890</v>
      </c>
      <c r="N679" s="176">
        <f t="shared" si="333"/>
        <v>10.08</v>
      </c>
    </row>
    <row r="680" ht="26.25" customHeight="1" spans="1:14">
      <c r="A680" s="198" t="s">
        <v>891</v>
      </c>
      <c r="B680" s="199" t="s">
        <v>892</v>
      </c>
      <c r="C680" s="199"/>
      <c r="D680" s="200">
        <f t="shared" ref="D680:L680" si="344">D681</f>
        <v>126.538116</v>
      </c>
      <c r="E680" s="200">
        <f t="shared" si="344"/>
        <v>72.038116</v>
      </c>
      <c r="F680" s="200">
        <f t="shared" si="344"/>
        <v>68.170616</v>
      </c>
      <c r="G680" s="200">
        <f t="shared" si="344"/>
        <v>3.8675</v>
      </c>
      <c r="H680" s="200">
        <f t="shared" si="344"/>
        <v>0</v>
      </c>
      <c r="I680" s="200">
        <f t="shared" si="344"/>
        <v>54.5</v>
      </c>
      <c r="J680" s="200">
        <f t="shared" si="344"/>
        <v>2</v>
      </c>
      <c r="K680" s="200">
        <f t="shared" si="344"/>
        <v>52.5</v>
      </c>
      <c r="L680" s="200">
        <f t="shared" si="344"/>
        <v>0</v>
      </c>
      <c r="M680" s="211"/>
      <c r="N680" s="176">
        <f t="shared" si="333"/>
        <v>74.038116</v>
      </c>
    </row>
    <row r="681" ht="26.25" customHeight="1" spans="1:14">
      <c r="A681" s="202"/>
      <c r="B681" s="203"/>
      <c r="C681" s="203" t="s">
        <v>527</v>
      </c>
      <c r="D681" s="200">
        <f t="shared" si="341"/>
        <v>126.538116</v>
      </c>
      <c r="E681" s="204">
        <f t="shared" si="342"/>
        <v>72.038116</v>
      </c>
      <c r="F681" s="205">
        <v>68.170616</v>
      </c>
      <c r="G681" s="205">
        <v>3.8675</v>
      </c>
      <c r="H681" s="205"/>
      <c r="I681" s="204">
        <f t="shared" si="343"/>
        <v>54.5</v>
      </c>
      <c r="J681" s="212">
        <v>2</v>
      </c>
      <c r="K681" s="205">
        <v>52.5</v>
      </c>
      <c r="L681" s="205"/>
      <c r="M681" s="213" t="s">
        <v>893</v>
      </c>
      <c r="N681" s="176">
        <f t="shared" si="333"/>
        <v>74.038116</v>
      </c>
    </row>
    <row r="682" ht="26.25" customHeight="1" spans="1:14">
      <c r="A682" s="198" t="s">
        <v>894</v>
      </c>
      <c r="B682" s="199" t="s">
        <v>895</v>
      </c>
      <c r="C682" s="199"/>
      <c r="D682" s="200">
        <f t="shared" ref="D682:L682" si="345">D683+D686+D688+D685</f>
        <v>225</v>
      </c>
      <c r="E682" s="200">
        <f t="shared" si="345"/>
        <v>0</v>
      </c>
      <c r="F682" s="200">
        <f t="shared" si="345"/>
        <v>0</v>
      </c>
      <c r="G682" s="200">
        <f t="shared" si="345"/>
        <v>0</v>
      </c>
      <c r="H682" s="200">
        <f t="shared" si="345"/>
        <v>0</v>
      </c>
      <c r="I682" s="200">
        <f t="shared" si="345"/>
        <v>225</v>
      </c>
      <c r="J682" s="200">
        <f t="shared" si="345"/>
        <v>80</v>
      </c>
      <c r="K682" s="200">
        <f t="shared" si="345"/>
        <v>80</v>
      </c>
      <c r="L682" s="200">
        <f t="shared" si="345"/>
        <v>65</v>
      </c>
      <c r="M682" s="211"/>
      <c r="N682" s="176">
        <f t="shared" si="333"/>
        <v>80</v>
      </c>
    </row>
    <row r="683" ht="26.25" customHeight="1" spans="1:14">
      <c r="A683" s="198" t="s">
        <v>896</v>
      </c>
      <c r="B683" s="199" t="s">
        <v>897</v>
      </c>
      <c r="C683" s="199"/>
      <c r="D683" s="200">
        <f t="shared" ref="D683:L683" si="346">D684</f>
        <v>10</v>
      </c>
      <c r="E683" s="200">
        <f t="shared" si="346"/>
        <v>0</v>
      </c>
      <c r="F683" s="200">
        <f t="shared" si="346"/>
        <v>0</v>
      </c>
      <c r="G683" s="200">
        <f t="shared" si="346"/>
        <v>0</v>
      </c>
      <c r="H683" s="200">
        <f t="shared" si="346"/>
        <v>0</v>
      </c>
      <c r="I683" s="200">
        <f t="shared" si="346"/>
        <v>10</v>
      </c>
      <c r="J683" s="200">
        <f t="shared" si="346"/>
        <v>10</v>
      </c>
      <c r="K683" s="200">
        <f t="shared" si="346"/>
        <v>0</v>
      </c>
      <c r="L683" s="200">
        <f t="shared" si="346"/>
        <v>0</v>
      </c>
      <c r="M683" s="211"/>
      <c r="N683" s="176">
        <f t="shared" si="333"/>
        <v>10</v>
      </c>
    </row>
    <row r="684" ht="26.25" customHeight="1" spans="1:14">
      <c r="A684" s="202"/>
      <c r="B684" s="203"/>
      <c r="C684" s="203" t="s">
        <v>527</v>
      </c>
      <c r="D684" s="200">
        <f t="shared" si="341"/>
        <v>10</v>
      </c>
      <c r="E684" s="204">
        <f t="shared" si="342"/>
        <v>0</v>
      </c>
      <c r="F684" s="205"/>
      <c r="G684" s="205"/>
      <c r="H684" s="205"/>
      <c r="I684" s="204">
        <f t="shared" si="343"/>
        <v>10</v>
      </c>
      <c r="J684" s="212">
        <v>10</v>
      </c>
      <c r="K684" s="205"/>
      <c r="L684" s="205"/>
      <c r="M684" s="213" t="s">
        <v>898</v>
      </c>
      <c r="N684" s="176">
        <f t="shared" si="333"/>
        <v>10</v>
      </c>
    </row>
    <row r="685" ht="26.25" customHeight="1" spans="1:14">
      <c r="A685" s="217">
        <v>2070307</v>
      </c>
      <c r="B685" s="199" t="s">
        <v>899</v>
      </c>
      <c r="C685" s="203"/>
      <c r="D685" s="200">
        <f t="shared" si="341"/>
        <v>145</v>
      </c>
      <c r="E685" s="204">
        <f t="shared" si="342"/>
        <v>0</v>
      </c>
      <c r="F685" s="205"/>
      <c r="G685" s="205"/>
      <c r="H685" s="205"/>
      <c r="I685" s="204">
        <f t="shared" si="343"/>
        <v>145</v>
      </c>
      <c r="J685" s="212"/>
      <c r="K685" s="205">
        <v>80</v>
      </c>
      <c r="L685" s="205">
        <v>65</v>
      </c>
      <c r="M685" s="213" t="s">
        <v>900</v>
      </c>
      <c r="N685" s="176">
        <f t="shared" si="333"/>
        <v>0</v>
      </c>
    </row>
    <row r="686" ht="26.25" customHeight="1" spans="1:14">
      <c r="A686" s="198" t="s">
        <v>901</v>
      </c>
      <c r="B686" s="199" t="s">
        <v>902</v>
      </c>
      <c r="C686" s="199"/>
      <c r="D686" s="200">
        <f t="shared" ref="D686:L686" si="347">D687</f>
        <v>20</v>
      </c>
      <c r="E686" s="200">
        <f t="shared" si="347"/>
        <v>0</v>
      </c>
      <c r="F686" s="200">
        <f t="shared" si="347"/>
        <v>0</v>
      </c>
      <c r="G686" s="200">
        <f t="shared" si="347"/>
        <v>0</v>
      </c>
      <c r="H686" s="200">
        <f t="shared" si="347"/>
        <v>0</v>
      </c>
      <c r="I686" s="200">
        <f t="shared" si="347"/>
        <v>20</v>
      </c>
      <c r="J686" s="200">
        <f t="shared" si="347"/>
        <v>20</v>
      </c>
      <c r="K686" s="200">
        <f t="shared" si="347"/>
        <v>0</v>
      </c>
      <c r="L686" s="200">
        <f t="shared" si="347"/>
        <v>0</v>
      </c>
      <c r="M686" s="211"/>
      <c r="N686" s="176">
        <f t="shared" si="333"/>
        <v>20</v>
      </c>
    </row>
    <row r="687" ht="26.25" customHeight="1" spans="1:14">
      <c r="A687" s="202"/>
      <c r="B687" s="203"/>
      <c r="C687" s="203" t="s">
        <v>527</v>
      </c>
      <c r="D687" s="200">
        <f t="shared" ref="D687:D692" si="348">E687+I687</f>
        <v>20</v>
      </c>
      <c r="E687" s="204">
        <f t="shared" ref="E687:E692" si="349">SUM(F687:H687)</f>
        <v>0</v>
      </c>
      <c r="F687" s="205"/>
      <c r="G687" s="205"/>
      <c r="H687" s="205"/>
      <c r="I687" s="204">
        <f t="shared" ref="I687:I692" si="350">SUM(J687:L687)</f>
        <v>20</v>
      </c>
      <c r="J687" s="212">
        <v>20</v>
      </c>
      <c r="K687" s="205"/>
      <c r="L687" s="205"/>
      <c r="M687" s="213" t="s">
        <v>903</v>
      </c>
      <c r="N687" s="176">
        <f t="shared" si="333"/>
        <v>20</v>
      </c>
    </row>
    <row r="688" ht="26.25" customHeight="1" spans="1:14">
      <c r="A688" s="198" t="s">
        <v>904</v>
      </c>
      <c r="B688" s="199" t="s">
        <v>905</v>
      </c>
      <c r="C688" s="199"/>
      <c r="D688" s="200">
        <f t="shared" ref="D688:L688" si="351">D689</f>
        <v>50</v>
      </c>
      <c r="E688" s="200">
        <f t="shared" si="351"/>
        <v>0</v>
      </c>
      <c r="F688" s="200">
        <f t="shared" si="351"/>
        <v>0</v>
      </c>
      <c r="G688" s="200">
        <f t="shared" si="351"/>
        <v>0</v>
      </c>
      <c r="H688" s="200">
        <f t="shared" si="351"/>
        <v>0</v>
      </c>
      <c r="I688" s="200">
        <f t="shared" si="351"/>
        <v>50</v>
      </c>
      <c r="J688" s="200">
        <f t="shared" si="351"/>
        <v>50</v>
      </c>
      <c r="K688" s="200">
        <f t="shared" si="351"/>
        <v>0</v>
      </c>
      <c r="L688" s="200">
        <f t="shared" si="351"/>
        <v>0</v>
      </c>
      <c r="M688" s="211"/>
      <c r="N688" s="176">
        <f t="shared" si="333"/>
        <v>50</v>
      </c>
    </row>
    <row r="689" ht="26.25" customHeight="1" spans="1:14">
      <c r="A689" s="202"/>
      <c r="B689" s="203"/>
      <c r="C689" s="203" t="s">
        <v>527</v>
      </c>
      <c r="D689" s="200">
        <f t="shared" si="348"/>
        <v>50</v>
      </c>
      <c r="E689" s="204">
        <f t="shared" si="349"/>
        <v>0</v>
      </c>
      <c r="F689" s="205"/>
      <c r="G689" s="205"/>
      <c r="H689" s="205"/>
      <c r="I689" s="204">
        <f t="shared" si="350"/>
        <v>50</v>
      </c>
      <c r="J689" s="212">
        <v>50</v>
      </c>
      <c r="K689" s="205"/>
      <c r="L689" s="205"/>
      <c r="M689" s="213" t="s">
        <v>906</v>
      </c>
      <c r="N689" s="176">
        <f t="shared" si="333"/>
        <v>50</v>
      </c>
    </row>
    <row r="690" ht="26.25" customHeight="1" spans="1:14">
      <c r="A690" s="198" t="s">
        <v>907</v>
      </c>
      <c r="B690" s="199" t="s">
        <v>908</v>
      </c>
      <c r="C690" s="199"/>
      <c r="D690" s="200">
        <f t="shared" ref="D690:L690" si="352">D691+D693</f>
        <v>545.797577</v>
      </c>
      <c r="E690" s="200">
        <f t="shared" si="352"/>
        <v>289.363177</v>
      </c>
      <c r="F690" s="200">
        <f t="shared" si="352"/>
        <v>275.257817</v>
      </c>
      <c r="G690" s="200">
        <f t="shared" si="352"/>
        <v>6.71</v>
      </c>
      <c r="H690" s="200">
        <f t="shared" si="352"/>
        <v>7.39536</v>
      </c>
      <c r="I690" s="200">
        <f t="shared" si="352"/>
        <v>256.4344</v>
      </c>
      <c r="J690" s="200">
        <f t="shared" si="352"/>
        <v>166.1</v>
      </c>
      <c r="K690" s="200">
        <f t="shared" si="352"/>
        <v>90.3344</v>
      </c>
      <c r="L690" s="200">
        <f t="shared" si="352"/>
        <v>0</v>
      </c>
      <c r="M690" s="211"/>
      <c r="N690" s="176">
        <f t="shared" si="333"/>
        <v>455.463177</v>
      </c>
    </row>
    <row r="691" ht="26.25" customHeight="1" spans="1:14">
      <c r="A691" s="198" t="s">
        <v>909</v>
      </c>
      <c r="B691" s="199" t="s">
        <v>910</v>
      </c>
      <c r="C691" s="199"/>
      <c r="D691" s="200">
        <f t="shared" ref="D691:L691" si="353">D692</f>
        <v>345.317577</v>
      </c>
      <c r="E691" s="200">
        <f t="shared" si="353"/>
        <v>289.363177</v>
      </c>
      <c r="F691" s="200">
        <f t="shared" si="353"/>
        <v>275.257817</v>
      </c>
      <c r="G691" s="200">
        <f t="shared" si="353"/>
        <v>6.71</v>
      </c>
      <c r="H691" s="200">
        <f t="shared" si="353"/>
        <v>7.39536</v>
      </c>
      <c r="I691" s="200">
        <f t="shared" si="353"/>
        <v>55.9544</v>
      </c>
      <c r="J691" s="200">
        <f t="shared" si="353"/>
        <v>37.8</v>
      </c>
      <c r="K691" s="200">
        <f t="shared" si="353"/>
        <v>18.1544</v>
      </c>
      <c r="L691" s="200">
        <f t="shared" si="353"/>
        <v>0</v>
      </c>
      <c r="M691" s="211"/>
      <c r="N691" s="176">
        <f t="shared" si="333"/>
        <v>327.163177</v>
      </c>
    </row>
    <row r="692" ht="45" customHeight="1" spans="1:14">
      <c r="A692" s="202"/>
      <c r="B692" s="203"/>
      <c r="C692" s="203" t="s">
        <v>529</v>
      </c>
      <c r="D692" s="200">
        <f t="shared" si="348"/>
        <v>345.317577</v>
      </c>
      <c r="E692" s="204">
        <f t="shared" si="349"/>
        <v>289.363177</v>
      </c>
      <c r="F692" s="205">
        <v>275.257817</v>
      </c>
      <c r="G692" s="205">
        <v>6.71</v>
      </c>
      <c r="H692" s="205">
        <v>7.39536</v>
      </c>
      <c r="I692" s="204">
        <f t="shared" si="350"/>
        <v>55.9544</v>
      </c>
      <c r="J692" s="212">
        <v>37.8</v>
      </c>
      <c r="K692" s="205">
        <v>18.1544</v>
      </c>
      <c r="L692" s="205"/>
      <c r="M692" s="213" t="s">
        <v>911</v>
      </c>
      <c r="N692" s="176">
        <f t="shared" si="333"/>
        <v>327.163177</v>
      </c>
    </row>
    <row r="693" ht="26.25" customHeight="1" spans="1:14">
      <c r="A693" s="198" t="s">
        <v>912</v>
      </c>
      <c r="B693" s="199" t="s">
        <v>913</v>
      </c>
      <c r="C693" s="199"/>
      <c r="D693" s="200">
        <f t="shared" ref="D693:L693" si="354">D694</f>
        <v>200.48</v>
      </c>
      <c r="E693" s="200">
        <f t="shared" si="354"/>
        <v>0</v>
      </c>
      <c r="F693" s="200">
        <f t="shared" si="354"/>
        <v>0</v>
      </c>
      <c r="G693" s="200">
        <f t="shared" si="354"/>
        <v>0</v>
      </c>
      <c r="H693" s="200">
        <f t="shared" si="354"/>
        <v>0</v>
      </c>
      <c r="I693" s="200">
        <f t="shared" si="354"/>
        <v>200.48</v>
      </c>
      <c r="J693" s="200">
        <f t="shared" si="354"/>
        <v>128.3</v>
      </c>
      <c r="K693" s="200">
        <f t="shared" si="354"/>
        <v>72.18</v>
      </c>
      <c r="L693" s="200">
        <f t="shared" si="354"/>
        <v>0</v>
      </c>
      <c r="M693" s="211"/>
      <c r="N693" s="176">
        <f t="shared" si="333"/>
        <v>128.3</v>
      </c>
    </row>
    <row r="694" ht="93" customHeight="1" spans="1:14">
      <c r="A694" s="202"/>
      <c r="B694" s="203"/>
      <c r="C694" s="203" t="s">
        <v>529</v>
      </c>
      <c r="D694" s="200">
        <f>E694+I694</f>
        <v>200.48</v>
      </c>
      <c r="E694" s="204">
        <f>SUM(F694:H694)</f>
        <v>0</v>
      </c>
      <c r="F694" s="205"/>
      <c r="G694" s="205"/>
      <c r="H694" s="205"/>
      <c r="I694" s="204">
        <f>SUM(J694:L694)</f>
        <v>200.48</v>
      </c>
      <c r="J694" s="212">
        <f>88.3+30+10</f>
        <v>128.3</v>
      </c>
      <c r="K694" s="205">
        <v>72.18</v>
      </c>
      <c r="L694" s="205"/>
      <c r="M694" s="213" t="s">
        <v>914</v>
      </c>
      <c r="N694" s="176">
        <f t="shared" si="333"/>
        <v>128.3</v>
      </c>
    </row>
    <row r="695" ht="26.25" customHeight="1" spans="1:14">
      <c r="A695" s="217">
        <v>20799</v>
      </c>
      <c r="B695" s="199" t="s">
        <v>915</v>
      </c>
      <c r="C695" s="203"/>
      <c r="D695" s="200">
        <f t="shared" ref="D695:L695" si="355">D696</f>
        <v>553.68</v>
      </c>
      <c r="E695" s="200">
        <f t="shared" si="355"/>
        <v>90</v>
      </c>
      <c r="F695" s="200">
        <f t="shared" si="355"/>
        <v>0</v>
      </c>
      <c r="G695" s="200">
        <f t="shared" si="355"/>
        <v>0</v>
      </c>
      <c r="H695" s="200">
        <f t="shared" si="355"/>
        <v>90</v>
      </c>
      <c r="I695" s="200">
        <f t="shared" si="355"/>
        <v>463.68</v>
      </c>
      <c r="J695" s="200">
        <f t="shared" si="355"/>
        <v>0</v>
      </c>
      <c r="K695" s="200">
        <f t="shared" si="355"/>
        <v>0</v>
      </c>
      <c r="L695" s="200">
        <f t="shared" si="355"/>
        <v>463.68</v>
      </c>
      <c r="M695" s="213"/>
      <c r="N695" s="176">
        <f t="shared" si="333"/>
        <v>90</v>
      </c>
    </row>
    <row r="696" ht="36" customHeight="1" spans="1:14">
      <c r="A696" s="217">
        <v>2079999</v>
      </c>
      <c r="B696" s="199" t="s">
        <v>916</v>
      </c>
      <c r="C696" s="203" t="s">
        <v>917</v>
      </c>
      <c r="D696" s="200">
        <f>E696+I696</f>
        <v>553.68</v>
      </c>
      <c r="E696" s="204">
        <f>SUM(F696:H696)</f>
        <v>90</v>
      </c>
      <c r="F696" s="205"/>
      <c r="G696" s="205"/>
      <c r="H696" s="205">
        <v>90</v>
      </c>
      <c r="I696" s="204">
        <f>SUM(J696:L696)</f>
        <v>463.68</v>
      </c>
      <c r="J696" s="212"/>
      <c r="K696" s="205"/>
      <c r="L696" s="205">
        <v>463.68</v>
      </c>
      <c r="M696" s="213" t="s">
        <v>918</v>
      </c>
      <c r="N696" s="176">
        <f t="shared" si="333"/>
        <v>90</v>
      </c>
    </row>
    <row r="697" ht="26.25" customHeight="1" spans="1:14">
      <c r="A697" s="198" t="s">
        <v>919</v>
      </c>
      <c r="B697" s="199" t="s">
        <v>920</v>
      </c>
      <c r="C697" s="199"/>
      <c r="D697" s="200">
        <f t="shared" ref="D697:L697" si="356">SUM(D698,D714,D721,D1017,D1022,D1027,D1032,D1037,D1050,D1053,D1056,D1059,D1066,D1070,D1020,D1048,D1049)</f>
        <v>38507.984599</v>
      </c>
      <c r="E697" s="200">
        <f t="shared" si="356"/>
        <v>15335.845799</v>
      </c>
      <c r="F697" s="200">
        <f t="shared" si="356"/>
        <v>13623.455579</v>
      </c>
      <c r="G697" s="200">
        <f t="shared" si="356"/>
        <v>85.0365</v>
      </c>
      <c r="H697" s="200">
        <f t="shared" si="356"/>
        <v>1627.35372</v>
      </c>
      <c r="I697" s="200">
        <f t="shared" si="356"/>
        <v>23172.1388</v>
      </c>
      <c r="J697" s="200">
        <f t="shared" si="356"/>
        <v>1759.4</v>
      </c>
      <c r="K697" s="200">
        <f t="shared" si="356"/>
        <v>1136.6188</v>
      </c>
      <c r="L697" s="200">
        <f t="shared" si="356"/>
        <v>20276.12</v>
      </c>
      <c r="M697" s="211"/>
      <c r="N697" s="176">
        <f t="shared" si="333"/>
        <v>17095.245799</v>
      </c>
    </row>
    <row r="698" ht="26.25" customHeight="1" spans="1:14">
      <c r="A698" s="198" t="s">
        <v>921</v>
      </c>
      <c r="B698" s="199" t="s">
        <v>922</v>
      </c>
      <c r="C698" s="199"/>
      <c r="D698" s="200">
        <f t="shared" ref="D698:L698" si="357">D699+D701+D703+D705+D707+D710+D712</f>
        <v>726.509086</v>
      </c>
      <c r="E698" s="200">
        <f t="shared" si="357"/>
        <v>468.890686</v>
      </c>
      <c r="F698" s="200">
        <f t="shared" si="357"/>
        <v>407.824246</v>
      </c>
      <c r="G698" s="200">
        <f t="shared" si="357"/>
        <v>42.2865</v>
      </c>
      <c r="H698" s="200">
        <f t="shared" si="357"/>
        <v>18.77994</v>
      </c>
      <c r="I698" s="200">
        <f t="shared" si="357"/>
        <v>257.6184</v>
      </c>
      <c r="J698" s="200">
        <f t="shared" si="357"/>
        <v>118.13</v>
      </c>
      <c r="K698" s="200">
        <f t="shared" si="357"/>
        <v>65.4884</v>
      </c>
      <c r="L698" s="200">
        <f t="shared" si="357"/>
        <v>74</v>
      </c>
      <c r="M698" s="211"/>
      <c r="N698" s="176">
        <f t="shared" si="333"/>
        <v>587.020686</v>
      </c>
    </row>
    <row r="699" ht="26.25" customHeight="1" spans="1:14">
      <c r="A699" s="198" t="s">
        <v>923</v>
      </c>
      <c r="B699" s="199" t="s">
        <v>295</v>
      </c>
      <c r="C699" s="199"/>
      <c r="D699" s="200">
        <f t="shared" ref="D699:L699" si="358">SUM(D700:D700)</f>
        <v>194.82915</v>
      </c>
      <c r="E699" s="200">
        <f t="shared" si="358"/>
        <v>194.49915</v>
      </c>
      <c r="F699" s="200">
        <f t="shared" si="358"/>
        <v>157.95315</v>
      </c>
      <c r="G699" s="200">
        <f t="shared" si="358"/>
        <v>23.142</v>
      </c>
      <c r="H699" s="200">
        <f t="shared" si="358"/>
        <v>13.404</v>
      </c>
      <c r="I699" s="200">
        <f t="shared" si="358"/>
        <v>0.33</v>
      </c>
      <c r="J699" s="200">
        <f t="shared" si="358"/>
        <v>0.33</v>
      </c>
      <c r="K699" s="200">
        <f t="shared" si="358"/>
        <v>0</v>
      </c>
      <c r="L699" s="200">
        <f t="shared" si="358"/>
        <v>0</v>
      </c>
      <c r="M699" s="211"/>
      <c r="N699" s="176">
        <f t="shared" si="333"/>
        <v>194.82915</v>
      </c>
    </row>
    <row r="700" ht="26.25" customHeight="1" spans="1:14">
      <c r="A700" s="202"/>
      <c r="B700" s="203"/>
      <c r="C700" s="203" t="s">
        <v>545</v>
      </c>
      <c r="D700" s="200">
        <f t="shared" ref="D700:D704" si="359">E700+I700</f>
        <v>194.82915</v>
      </c>
      <c r="E700" s="204">
        <f t="shared" ref="E700:E704" si="360">SUM(F700:H700)</f>
        <v>194.49915</v>
      </c>
      <c r="F700" s="205">
        <v>157.95315</v>
      </c>
      <c r="G700" s="205">
        <v>23.142</v>
      </c>
      <c r="H700" s="205">
        <v>13.404</v>
      </c>
      <c r="I700" s="204">
        <f t="shared" ref="I700:I704" si="361">SUM(J700:L700)</f>
        <v>0.33</v>
      </c>
      <c r="J700" s="212">
        <v>0.33</v>
      </c>
      <c r="K700" s="205"/>
      <c r="L700" s="205"/>
      <c r="M700" s="213" t="s">
        <v>924</v>
      </c>
      <c r="N700" s="176">
        <f t="shared" si="333"/>
        <v>194.82915</v>
      </c>
    </row>
    <row r="701" ht="26.25" customHeight="1" spans="1:14">
      <c r="A701" s="198" t="s">
        <v>925</v>
      </c>
      <c r="B701" s="199" t="s">
        <v>926</v>
      </c>
      <c r="C701" s="199"/>
      <c r="D701" s="200">
        <f t="shared" ref="D701:L701" si="362">D702</f>
        <v>8</v>
      </c>
      <c r="E701" s="200">
        <f t="shared" si="362"/>
        <v>0</v>
      </c>
      <c r="F701" s="200">
        <f t="shared" si="362"/>
        <v>0</v>
      </c>
      <c r="G701" s="200">
        <f t="shared" si="362"/>
        <v>0</v>
      </c>
      <c r="H701" s="200">
        <f t="shared" si="362"/>
        <v>0</v>
      </c>
      <c r="I701" s="200">
        <f t="shared" si="362"/>
        <v>8</v>
      </c>
      <c r="J701" s="200">
        <f t="shared" si="362"/>
        <v>8</v>
      </c>
      <c r="K701" s="200">
        <f t="shared" si="362"/>
        <v>0</v>
      </c>
      <c r="L701" s="200">
        <f t="shared" si="362"/>
        <v>0</v>
      </c>
      <c r="M701" s="211"/>
      <c r="N701" s="176">
        <f t="shared" si="333"/>
        <v>8</v>
      </c>
    </row>
    <row r="702" ht="26.25" customHeight="1" spans="1:14">
      <c r="A702" s="202"/>
      <c r="B702" s="203"/>
      <c r="C702" s="203" t="s">
        <v>545</v>
      </c>
      <c r="D702" s="200">
        <f t="shared" si="359"/>
        <v>8</v>
      </c>
      <c r="E702" s="204">
        <f t="shared" si="360"/>
        <v>0</v>
      </c>
      <c r="F702" s="205"/>
      <c r="G702" s="205"/>
      <c r="H702" s="205"/>
      <c r="I702" s="204">
        <f t="shared" si="361"/>
        <v>8</v>
      </c>
      <c r="J702" s="212">
        <v>8</v>
      </c>
      <c r="K702" s="205"/>
      <c r="L702" s="205"/>
      <c r="M702" s="213" t="s">
        <v>927</v>
      </c>
      <c r="N702" s="176">
        <f t="shared" si="333"/>
        <v>8</v>
      </c>
    </row>
    <row r="703" ht="26.25" customHeight="1" spans="1:14">
      <c r="A703" s="198" t="s">
        <v>928</v>
      </c>
      <c r="B703" s="199" t="s">
        <v>929</v>
      </c>
      <c r="C703" s="199"/>
      <c r="D703" s="200">
        <f t="shared" ref="D703:L703" si="363">D704</f>
        <v>8</v>
      </c>
      <c r="E703" s="200">
        <f t="shared" si="363"/>
        <v>0</v>
      </c>
      <c r="F703" s="200">
        <f t="shared" si="363"/>
        <v>0</v>
      </c>
      <c r="G703" s="200">
        <f t="shared" si="363"/>
        <v>0</v>
      </c>
      <c r="H703" s="200">
        <f t="shared" si="363"/>
        <v>0</v>
      </c>
      <c r="I703" s="200">
        <f t="shared" si="363"/>
        <v>8</v>
      </c>
      <c r="J703" s="200">
        <f t="shared" si="363"/>
        <v>8</v>
      </c>
      <c r="K703" s="200">
        <f t="shared" si="363"/>
        <v>0</v>
      </c>
      <c r="L703" s="200">
        <f t="shared" si="363"/>
        <v>0</v>
      </c>
      <c r="M703" s="211"/>
      <c r="N703" s="176">
        <f t="shared" si="333"/>
        <v>8</v>
      </c>
    </row>
    <row r="704" ht="26.25" customHeight="1" spans="1:14">
      <c r="A704" s="202"/>
      <c r="B704" s="203"/>
      <c r="C704" s="203" t="s">
        <v>545</v>
      </c>
      <c r="D704" s="200">
        <f t="shared" si="359"/>
        <v>8</v>
      </c>
      <c r="E704" s="204">
        <f t="shared" si="360"/>
        <v>0</v>
      </c>
      <c r="F704" s="205"/>
      <c r="G704" s="205"/>
      <c r="H704" s="205"/>
      <c r="I704" s="204">
        <f t="shared" si="361"/>
        <v>8</v>
      </c>
      <c r="J704" s="212">
        <v>8</v>
      </c>
      <c r="K704" s="205"/>
      <c r="L704" s="205"/>
      <c r="M704" s="213" t="s">
        <v>930</v>
      </c>
      <c r="N704" s="176">
        <f t="shared" si="333"/>
        <v>8</v>
      </c>
    </row>
    <row r="705" ht="26.25" customHeight="1" spans="1:14">
      <c r="A705" s="198" t="s">
        <v>931</v>
      </c>
      <c r="B705" s="199" t="s">
        <v>932</v>
      </c>
      <c r="C705" s="199"/>
      <c r="D705" s="200">
        <f t="shared" ref="D705:L705" si="364">D706</f>
        <v>106.532889</v>
      </c>
      <c r="E705" s="200">
        <f t="shared" si="364"/>
        <v>94.532889</v>
      </c>
      <c r="F705" s="200">
        <f t="shared" si="364"/>
        <v>82.070889</v>
      </c>
      <c r="G705" s="200">
        <f t="shared" si="364"/>
        <v>9.948</v>
      </c>
      <c r="H705" s="200">
        <f t="shared" si="364"/>
        <v>2.514</v>
      </c>
      <c r="I705" s="200">
        <f t="shared" si="364"/>
        <v>12</v>
      </c>
      <c r="J705" s="200">
        <f t="shared" si="364"/>
        <v>12</v>
      </c>
      <c r="K705" s="200">
        <f t="shared" si="364"/>
        <v>0</v>
      </c>
      <c r="L705" s="200">
        <f t="shared" si="364"/>
        <v>0</v>
      </c>
      <c r="M705" s="211"/>
      <c r="N705" s="176">
        <f t="shared" si="333"/>
        <v>106.532889</v>
      </c>
    </row>
    <row r="706" ht="26.25" customHeight="1" spans="1:14">
      <c r="A706" s="202"/>
      <c r="B706" s="203"/>
      <c r="C706" s="203" t="s">
        <v>545</v>
      </c>
      <c r="D706" s="200">
        <f>E706+I706</f>
        <v>106.532889</v>
      </c>
      <c r="E706" s="204">
        <f>SUM(F706:H706)</f>
        <v>94.532889</v>
      </c>
      <c r="F706" s="205">
        <v>82.070889</v>
      </c>
      <c r="G706" s="205">
        <v>9.948</v>
      </c>
      <c r="H706" s="205">
        <v>2.514</v>
      </c>
      <c r="I706" s="204">
        <f>SUM(J706:L706)</f>
        <v>12</v>
      </c>
      <c r="J706" s="212">
        <v>12</v>
      </c>
      <c r="K706" s="205"/>
      <c r="L706" s="205"/>
      <c r="M706" s="213" t="s">
        <v>933</v>
      </c>
      <c r="N706" s="176">
        <f t="shared" si="333"/>
        <v>106.532889</v>
      </c>
    </row>
    <row r="707" ht="26.25" customHeight="1" spans="1:14">
      <c r="A707" s="198" t="s">
        <v>934</v>
      </c>
      <c r="B707" s="199" t="s">
        <v>935</v>
      </c>
      <c r="C707" s="199"/>
      <c r="D707" s="200">
        <f t="shared" ref="D707:L707" si="365">SUM(D708:D709)</f>
        <v>255.658647</v>
      </c>
      <c r="E707" s="200">
        <f t="shared" si="365"/>
        <v>179.858647</v>
      </c>
      <c r="F707" s="200">
        <f t="shared" si="365"/>
        <v>167.800207</v>
      </c>
      <c r="G707" s="200">
        <f t="shared" si="365"/>
        <v>9.1965</v>
      </c>
      <c r="H707" s="200">
        <f t="shared" si="365"/>
        <v>2.86194</v>
      </c>
      <c r="I707" s="200">
        <f t="shared" si="365"/>
        <v>75.8</v>
      </c>
      <c r="J707" s="200">
        <f t="shared" si="365"/>
        <v>47.8</v>
      </c>
      <c r="K707" s="200">
        <f t="shared" si="365"/>
        <v>28</v>
      </c>
      <c r="L707" s="200">
        <f t="shared" si="365"/>
        <v>0</v>
      </c>
      <c r="M707" s="211"/>
      <c r="N707" s="176">
        <f t="shared" si="333"/>
        <v>227.658647</v>
      </c>
    </row>
    <row r="708" ht="80" customHeight="1" spans="1:14">
      <c r="A708" s="202"/>
      <c r="B708" s="203"/>
      <c r="C708" s="203" t="s">
        <v>545</v>
      </c>
      <c r="D708" s="200">
        <f>E708+I708</f>
        <v>112.190388</v>
      </c>
      <c r="E708" s="204">
        <f>SUM(F708:H708)</f>
        <v>36.390388</v>
      </c>
      <c r="F708" s="205">
        <v>30.288448</v>
      </c>
      <c r="G708" s="205">
        <v>3.264</v>
      </c>
      <c r="H708" s="205">
        <v>2.83794</v>
      </c>
      <c r="I708" s="204">
        <f>SUM(J708:L708)</f>
        <v>75.8</v>
      </c>
      <c r="J708" s="212">
        <v>47.8</v>
      </c>
      <c r="K708" s="205">
        <v>28</v>
      </c>
      <c r="L708" s="205"/>
      <c r="M708" s="213" t="s">
        <v>936</v>
      </c>
      <c r="N708" s="176">
        <f t="shared" si="333"/>
        <v>84.190388</v>
      </c>
    </row>
    <row r="709" ht="33" customHeight="1" spans="1:13">
      <c r="A709" s="202"/>
      <c r="B709" s="203"/>
      <c r="C709" s="203" t="s">
        <v>937</v>
      </c>
      <c r="D709" s="200">
        <f>E709+I709</f>
        <v>143.468259</v>
      </c>
      <c r="E709" s="204">
        <f>SUM(F709:H709)</f>
        <v>143.468259</v>
      </c>
      <c r="F709" s="205">
        <v>137.511759</v>
      </c>
      <c r="G709" s="205">
        <v>5.9325</v>
      </c>
      <c r="H709" s="205">
        <v>0.024</v>
      </c>
      <c r="I709" s="204">
        <f>SUM(J709:L709)</f>
        <v>0</v>
      </c>
      <c r="J709" s="212"/>
      <c r="K709" s="205"/>
      <c r="L709" s="205"/>
      <c r="M709" s="213"/>
    </row>
    <row r="710" ht="26.25" customHeight="1" spans="1:14">
      <c r="A710" s="198" t="s">
        <v>938</v>
      </c>
      <c r="B710" s="199" t="s">
        <v>939</v>
      </c>
      <c r="C710" s="199"/>
      <c r="D710" s="200">
        <f t="shared" ref="D710:L710" si="366">D711</f>
        <v>5.76</v>
      </c>
      <c r="E710" s="200">
        <f t="shared" si="366"/>
        <v>0</v>
      </c>
      <c r="F710" s="200">
        <f t="shared" si="366"/>
        <v>0</v>
      </c>
      <c r="G710" s="200">
        <f t="shared" si="366"/>
        <v>0</v>
      </c>
      <c r="H710" s="200">
        <f t="shared" si="366"/>
        <v>0</v>
      </c>
      <c r="I710" s="200">
        <f t="shared" si="366"/>
        <v>5.76</v>
      </c>
      <c r="J710" s="200">
        <f t="shared" si="366"/>
        <v>5.76</v>
      </c>
      <c r="K710" s="200">
        <f t="shared" si="366"/>
        <v>0</v>
      </c>
      <c r="L710" s="200">
        <f t="shared" si="366"/>
        <v>0</v>
      </c>
      <c r="M710" s="211"/>
      <c r="N710" s="176">
        <f t="shared" ref="N710:N763" si="367">J710+E710</f>
        <v>5.76</v>
      </c>
    </row>
    <row r="711" ht="27" customHeight="1" spans="1:14">
      <c r="A711" s="202"/>
      <c r="B711" s="203"/>
      <c r="C711" s="203" t="s">
        <v>545</v>
      </c>
      <c r="D711" s="200">
        <f t="shared" ref="D711:D716" si="368">E711+I711</f>
        <v>5.76</v>
      </c>
      <c r="E711" s="204">
        <f t="shared" ref="E711:E716" si="369">SUM(F711:H711)</f>
        <v>0</v>
      </c>
      <c r="F711" s="205"/>
      <c r="G711" s="205"/>
      <c r="H711" s="205"/>
      <c r="I711" s="204">
        <f t="shared" ref="I711:I716" si="370">SUM(J711:L711)</f>
        <v>5.76</v>
      </c>
      <c r="J711" s="212">
        <v>5.76</v>
      </c>
      <c r="K711" s="205"/>
      <c r="L711" s="205"/>
      <c r="M711" s="213" t="s">
        <v>940</v>
      </c>
      <c r="N711" s="176">
        <f t="shared" si="367"/>
        <v>5.76</v>
      </c>
    </row>
    <row r="712" ht="26.25" customHeight="1" spans="1:14">
      <c r="A712" s="198" t="s">
        <v>941</v>
      </c>
      <c r="B712" s="199" t="s">
        <v>942</v>
      </c>
      <c r="C712" s="199"/>
      <c r="D712" s="200">
        <f t="shared" ref="D712:L712" si="371">D713</f>
        <v>147.7284</v>
      </c>
      <c r="E712" s="200">
        <f t="shared" si="371"/>
        <v>0</v>
      </c>
      <c r="F712" s="200">
        <f t="shared" si="371"/>
        <v>0</v>
      </c>
      <c r="G712" s="200">
        <f t="shared" si="371"/>
        <v>0</v>
      </c>
      <c r="H712" s="200">
        <f t="shared" si="371"/>
        <v>0</v>
      </c>
      <c r="I712" s="200">
        <f t="shared" si="371"/>
        <v>147.7284</v>
      </c>
      <c r="J712" s="200">
        <f t="shared" si="371"/>
        <v>36.24</v>
      </c>
      <c r="K712" s="200">
        <f t="shared" si="371"/>
        <v>37.4884</v>
      </c>
      <c r="L712" s="200">
        <f t="shared" si="371"/>
        <v>74</v>
      </c>
      <c r="M712" s="211"/>
      <c r="N712" s="176">
        <f t="shared" si="367"/>
        <v>36.24</v>
      </c>
    </row>
    <row r="713" ht="81" customHeight="1" spans="1:14">
      <c r="A713" s="202"/>
      <c r="B713" s="203"/>
      <c r="C713" s="203" t="s">
        <v>545</v>
      </c>
      <c r="D713" s="200">
        <f t="shared" si="368"/>
        <v>147.7284</v>
      </c>
      <c r="E713" s="204">
        <f t="shared" si="369"/>
        <v>0</v>
      </c>
      <c r="F713" s="205"/>
      <c r="G713" s="205"/>
      <c r="H713" s="205"/>
      <c r="I713" s="204">
        <f t="shared" si="370"/>
        <v>147.7284</v>
      </c>
      <c r="J713" s="212">
        <v>36.24</v>
      </c>
      <c r="K713" s="205">
        <v>37.4884</v>
      </c>
      <c r="L713" s="205">
        <v>74</v>
      </c>
      <c r="M713" s="213" t="s">
        <v>943</v>
      </c>
      <c r="N713" s="176">
        <f t="shared" si="367"/>
        <v>36.24</v>
      </c>
    </row>
    <row r="714" ht="26.25" customHeight="1" spans="1:14">
      <c r="A714" s="198" t="s">
        <v>944</v>
      </c>
      <c r="B714" s="199" t="s">
        <v>945</v>
      </c>
      <c r="C714" s="199"/>
      <c r="D714" s="200">
        <f t="shared" ref="D714:L714" si="372">D715+D717+D719</f>
        <v>373.068824</v>
      </c>
      <c r="E714" s="200">
        <f t="shared" si="372"/>
        <v>295.864824</v>
      </c>
      <c r="F714" s="200">
        <f t="shared" si="372"/>
        <v>251.493484</v>
      </c>
      <c r="G714" s="200">
        <f t="shared" si="372"/>
        <v>25.85</v>
      </c>
      <c r="H714" s="200">
        <f t="shared" si="372"/>
        <v>18.52134</v>
      </c>
      <c r="I714" s="200">
        <f t="shared" si="372"/>
        <v>77.204</v>
      </c>
      <c r="J714" s="200">
        <f t="shared" si="372"/>
        <v>51.1</v>
      </c>
      <c r="K714" s="200">
        <f t="shared" si="372"/>
        <v>26.104</v>
      </c>
      <c r="L714" s="200">
        <f t="shared" si="372"/>
        <v>0</v>
      </c>
      <c r="M714" s="211"/>
      <c r="N714" s="176">
        <f t="shared" si="367"/>
        <v>346.964824</v>
      </c>
    </row>
    <row r="715" ht="26.25" customHeight="1" spans="1:14">
      <c r="A715" s="198" t="s">
        <v>946</v>
      </c>
      <c r="B715" s="199" t="s">
        <v>295</v>
      </c>
      <c r="C715" s="199"/>
      <c r="D715" s="200">
        <f t="shared" ref="D715:L715" si="373">D716</f>
        <v>295.714824</v>
      </c>
      <c r="E715" s="200">
        <f t="shared" si="373"/>
        <v>295.414824</v>
      </c>
      <c r="F715" s="200">
        <f t="shared" si="373"/>
        <v>251.043484</v>
      </c>
      <c r="G715" s="200">
        <f t="shared" si="373"/>
        <v>25.85</v>
      </c>
      <c r="H715" s="200">
        <f t="shared" si="373"/>
        <v>18.52134</v>
      </c>
      <c r="I715" s="200">
        <f t="shared" si="373"/>
        <v>0.3</v>
      </c>
      <c r="J715" s="200">
        <f t="shared" si="373"/>
        <v>0.3</v>
      </c>
      <c r="K715" s="200">
        <f t="shared" si="373"/>
        <v>0</v>
      </c>
      <c r="L715" s="200">
        <f t="shared" si="373"/>
        <v>0</v>
      </c>
      <c r="M715" s="211"/>
      <c r="N715" s="176">
        <f t="shared" si="367"/>
        <v>295.714824</v>
      </c>
    </row>
    <row r="716" ht="26.25" customHeight="1" spans="1:14">
      <c r="A716" s="202"/>
      <c r="B716" s="203"/>
      <c r="C716" s="203" t="s">
        <v>543</v>
      </c>
      <c r="D716" s="200">
        <f t="shared" si="368"/>
        <v>295.714824</v>
      </c>
      <c r="E716" s="204">
        <f t="shared" si="369"/>
        <v>295.414824</v>
      </c>
      <c r="F716" s="205">
        <v>251.043484</v>
      </c>
      <c r="G716" s="205">
        <v>25.85</v>
      </c>
      <c r="H716" s="205">
        <v>18.52134</v>
      </c>
      <c r="I716" s="204">
        <f t="shared" si="370"/>
        <v>0.3</v>
      </c>
      <c r="J716" s="212">
        <v>0.3</v>
      </c>
      <c r="K716" s="205"/>
      <c r="L716" s="205"/>
      <c r="M716" s="213" t="s">
        <v>947</v>
      </c>
      <c r="N716" s="176">
        <f t="shared" si="367"/>
        <v>295.714824</v>
      </c>
    </row>
    <row r="717" ht="26.25" customHeight="1" spans="1:14">
      <c r="A717" s="198" t="s">
        <v>948</v>
      </c>
      <c r="B717" s="199" t="s">
        <v>949</v>
      </c>
      <c r="C717" s="199"/>
      <c r="D717" s="200">
        <f t="shared" ref="D717:L717" si="374">D718</f>
        <v>8</v>
      </c>
      <c r="E717" s="200">
        <f t="shared" si="374"/>
        <v>0</v>
      </c>
      <c r="F717" s="200">
        <f t="shared" si="374"/>
        <v>0</v>
      </c>
      <c r="G717" s="200">
        <f t="shared" si="374"/>
        <v>0</v>
      </c>
      <c r="H717" s="200">
        <f t="shared" si="374"/>
        <v>0</v>
      </c>
      <c r="I717" s="200">
        <f t="shared" si="374"/>
        <v>8</v>
      </c>
      <c r="J717" s="200">
        <f t="shared" si="374"/>
        <v>8</v>
      </c>
      <c r="K717" s="200">
        <f t="shared" si="374"/>
        <v>0</v>
      </c>
      <c r="L717" s="200">
        <f t="shared" si="374"/>
        <v>0</v>
      </c>
      <c r="M717" s="211"/>
      <c r="N717" s="176">
        <f t="shared" si="367"/>
        <v>8</v>
      </c>
    </row>
    <row r="718" ht="26.25" customHeight="1" spans="1:14">
      <c r="A718" s="202"/>
      <c r="B718" s="203"/>
      <c r="C718" s="203" t="s">
        <v>543</v>
      </c>
      <c r="D718" s="200">
        <f t="shared" ref="D718:D724" si="375">E718+I718</f>
        <v>8</v>
      </c>
      <c r="E718" s="204">
        <f t="shared" ref="E718:E724" si="376">SUM(F718:H718)</f>
        <v>0</v>
      </c>
      <c r="F718" s="205"/>
      <c r="G718" s="205"/>
      <c r="H718" s="205"/>
      <c r="I718" s="204">
        <f t="shared" ref="I718:I724" si="377">SUM(J718:L718)</f>
        <v>8</v>
      </c>
      <c r="J718" s="212">
        <v>8</v>
      </c>
      <c r="K718" s="205"/>
      <c r="L718" s="205"/>
      <c r="M718" s="213" t="s">
        <v>950</v>
      </c>
      <c r="N718" s="176">
        <f t="shared" si="367"/>
        <v>8</v>
      </c>
    </row>
    <row r="719" ht="26.25" customHeight="1" spans="1:14">
      <c r="A719" s="198" t="s">
        <v>951</v>
      </c>
      <c r="B719" s="199" t="s">
        <v>952</v>
      </c>
      <c r="C719" s="199"/>
      <c r="D719" s="200">
        <f t="shared" ref="D719:L719" si="378">D720</f>
        <v>69.354</v>
      </c>
      <c r="E719" s="200">
        <f t="shared" si="378"/>
        <v>0.45</v>
      </c>
      <c r="F719" s="200">
        <f t="shared" si="378"/>
        <v>0.45</v>
      </c>
      <c r="G719" s="200">
        <f t="shared" si="378"/>
        <v>0</v>
      </c>
      <c r="H719" s="200">
        <f t="shared" si="378"/>
        <v>0</v>
      </c>
      <c r="I719" s="200">
        <f t="shared" si="378"/>
        <v>68.904</v>
      </c>
      <c r="J719" s="200">
        <f t="shared" si="378"/>
        <v>42.8</v>
      </c>
      <c r="K719" s="200">
        <f t="shared" si="378"/>
        <v>26.104</v>
      </c>
      <c r="L719" s="200">
        <f t="shared" si="378"/>
        <v>0</v>
      </c>
      <c r="M719" s="211"/>
      <c r="N719" s="176">
        <f t="shared" si="367"/>
        <v>43.25</v>
      </c>
    </row>
    <row r="720" ht="26.25" customHeight="1" spans="1:14">
      <c r="A720" s="202"/>
      <c r="B720" s="203"/>
      <c r="C720" s="203" t="s">
        <v>543</v>
      </c>
      <c r="D720" s="200">
        <f t="shared" si="375"/>
        <v>69.354</v>
      </c>
      <c r="E720" s="204">
        <f t="shared" si="376"/>
        <v>0.45</v>
      </c>
      <c r="F720" s="205">
        <v>0.45</v>
      </c>
      <c r="G720" s="205"/>
      <c r="H720" s="205"/>
      <c r="I720" s="204">
        <f t="shared" si="377"/>
        <v>68.904</v>
      </c>
      <c r="J720" s="212">
        <v>42.8</v>
      </c>
      <c r="K720" s="205">
        <v>26.104</v>
      </c>
      <c r="L720" s="205"/>
      <c r="M720" s="213" t="s">
        <v>953</v>
      </c>
      <c r="N720" s="176">
        <f t="shared" si="367"/>
        <v>43.25</v>
      </c>
    </row>
    <row r="721" ht="27" customHeight="1" spans="1:14">
      <c r="A721" s="198" t="s">
        <v>954</v>
      </c>
      <c r="B721" s="199" t="s">
        <v>955</v>
      </c>
      <c r="C721" s="199"/>
      <c r="D721" s="200">
        <f t="shared" ref="D721:L721" si="379">D722+D725+D1012+D1014</f>
        <v>15392.577415</v>
      </c>
      <c r="E721" s="200">
        <f t="shared" si="379"/>
        <v>13389.297415</v>
      </c>
      <c r="F721" s="200">
        <f t="shared" si="379"/>
        <v>12765.144175</v>
      </c>
      <c r="G721" s="200">
        <f t="shared" si="379"/>
        <v>0</v>
      </c>
      <c r="H721" s="200">
        <f t="shared" si="379"/>
        <v>624.15324</v>
      </c>
      <c r="I721" s="200">
        <f t="shared" si="379"/>
        <v>2003.28</v>
      </c>
      <c r="J721" s="200">
        <f t="shared" si="379"/>
        <v>5.28</v>
      </c>
      <c r="K721" s="200">
        <f t="shared" si="379"/>
        <v>0</v>
      </c>
      <c r="L721" s="200">
        <f t="shared" si="379"/>
        <v>1998</v>
      </c>
      <c r="M721" s="211"/>
      <c r="N721" s="176">
        <f t="shared" si="367"/>
        <v>13394.577415</v>
      </c>
    </row>
    <row r="722" ht="26.25" customHeight="1" spans="1:14">
      <c r="A722" s="198" t="s">
        <v>956</v>
      </c>
      <c r="B722" s="199" t="s">
        <v>957</v>
      </c>
      <c r="C722" s="199"/>
      <c r="D722" s="214">
        <f t="shared" ref="D722:L722" si="380">SUM(D723:D724)</f>
        <v>3.15324</v>
      </c>
      <c r="E722" s="200">
        <f t="shared" si="380"/>
        <v>3.15324</v>
      </c>
      <c r="F722" s="200">
        <f t="shared" si="380"/>
        <v>0</v>
      </c>
      <c r="G722" s="200">
        <f t="shared" si="380"/>
        <v>0</v>
      </c>
      <c r="H722" s="200">
        <f t="shared" si="380"/>
        <v>3.15324</v>
      </c>
      <c r="I722" s="200">
        <f t="shared" si="380"/>
        <v>0</v>
      </c>
      <c r="J722" s="200">
        <f t="shared" si="380"/>
        <v>0</v>
      </c>
      <c r="K722" s="200">
        <f t="shared" si="380"/>
        <v>0</v>
      </c>
      <c r="L722" s="200">
        <f t="shared" si="380"/>
        <v>0</v>
      </c>
      <c r="M722" s="211"/>
      <c r="N722" s="176">
        <f t="shared" si="367"/>
        <v>3.15324</v>
      </c>
    </row>
    <row r="723" ht="26.25" customHeight="1" spans="1:14">
      <c r="A723" s="202"/>
      <c r="B723" s="203"/>
      <c r="C723" s="203" t="s">
        <v>541</v>
      </c>
      <c r="D723" s="200">
        <f t="shared" si="375"/>
        <v>1.8</v>
      </c>
      <c r="E723" s="204">
        <f t="shared" si="376"/>
        <v>1.8</v>
      </c>
      <c r="F723" s="205"/>
      <c r="G723" s="205"/>
      <c r="H723" s="205">
        <v>1.8</v>
      </c>
      <c r="I723" s="204">
        <f t="shared" si="377"/>
        <v>0</v>
      </c>
      <c r="J723" s="212"/>
      <c r="K723" s="205"/>
      <c r="L723" s="205"/>
      <c r="M723" s="213"/>
      <c r="N723" s="176">
        <f t="shared" si="367"/>
        <v>1.8</v>
      </c>
    </row>
    <row r="724" ht="26.25" customHeight="1" spans="1:14">
      <c r="A724" s="202"/>
      <c r="B724" s="203"/>
      <c r="C724" s="203" t="s">
        <v>568</v>
      </c>
      <c r="D724" s="200">
        <f t="shared" si="375"/>
        <v>1.35324</v>
      </c>
      <c r="E724" s="204">
        <f t="shared" si="376"/>
        <v>1.35324</v>
      </c>
      <c r="F724" s="205"/>
      <c r="G724" s="205"/>
      <c r="H724" s="205">
        <v>1.35324</v>
      </c>
      <c r="I724" s="204">
        <f t="shared" si="377"/>
        <v>0</v>
      </c>
      <c r="J724" s="212"/>
      <c r="K724" s="205"/>
      <c r="L724" s="205"/>
      <c r="M724" s="213"/>
      <c r="N724" s="176">
        <f t="shared" si="367"/>
        <v>1.35324</v>
      </c>
    </row>
    <row r="725" ht="24" spans="1:14">
      <c r="A725" s="198" t="s">
        <v>958</v>
      </c>
      <c r="B725" s="199" t="s">
        <v>959</v>
      </c>
      <c r="C725" s="199"/>
      <c r="D725" s="200">
        <f t="shared" ref="D725:L725" si="381">SUM(D726:D1011)</f>
        <v>11134.144175</v>
      </c>
      <c r="E725" s="200">
        <f t="shared" si="381"/>
        <v>11134.144175</v>
      </c>
      <c r="F725" s="200">
        <f t="shared" si="381"/>
        <v>11134.144175</v>
      </c>
      <c r="G725" s="200">
        <f t="shared" si="381"/>
        <v>0</v>
      </c>
      <c r="H725" s="200">
        <f t="shared" si="381"/>
        <v>0</v>
      </c>
      <c r="I725" s="200">
        <f t="shared" si="381"/>
        <v>0</v>
      </c>
      <c r="J725" s="200">
        <f t="shared" si="381"/>
        <v>0</v>
      </c>
      <c r="K725" s="200">
        <f t="shared" si="381"/>
        <v>0</v>
      </c>
      <c r="L725" s="200">
        <f t="shared" si="381"/>
        <v>0</v>
      </c>
      <c r="M725" s="211"/>
      <c r="N725" s="176">
        <f t="shared" si="367"/>
        <v>11134.144175</v>
      </c>
    </row>
    <row r="726" hidden="1" spans="1:14">
      <c r="A726" s="202"/>
      <c r="B726" s="203"/>
      <c r="C726" s="203" t="s">
        <v>509</v>
      </c>
      <c r="D726" s="200">
        <f t="shared" ref="D726:D789" si="382">E726+I726</f>
        <v>42.91816</v>
      </c>
      <c r="E726" s="204">
        <f t="shared" ref="E726:E789" si="383">SUM(F726:H726)</f>
        <v>42.91816</v>
      </c>
      <c r="F726" s="205">
        <v>42.91816</v>
      </c>
      <c r="G726" s="205"/>
      <c r="H726" s="205"/>
      <c r="I726" s="204">
        <f t="shared" ref="I726:I789" si="384">SUM(J726:L726)</f>
        <v>0</v>
      </c>
      <c r="J726" s="212"/>
      <c r="K726" s="205"/>
      <c r="L726" s="205"/>
      <c r="M726" s="213"/>
      <c r="N726" s="176">
        <f t="shared" si="367"/>
        <v>42.91816</v>
      </c>
    </row>
    <row r="727" hidden="1" spans="1:14">
      <c r="A727" s="202"/>
      <c r="B727" s="203"/>
      <c r="C727" s="203" t="s">
        <v>339</v>
      </c>
      <c r="D727" s="200">
        <f t="shared" si="382"/>
        <v>49.396816</v>
      </c>
      <c r="E727" s="204">
        <f t="shared" si="383"/>
        <v>49.396816</v>
      </c>
      <c r="F727" s="205">
        <v>49.396816</v>
      </c>
      <c r="G727" s="205"/>
      <c r="H727" s="205"/>
      <c r="I727" s="204">
        <f t="shared" si="384"/>
        <v>0</v>
      </c>
      <c r="J727" s="212"/>
      <c r="K727" s="205"/>
      <c r="L727" s="205"/>
      <c r="M727" s="213"/>
      <c r="N727" s="176">
        <f t="shared" si="367"/>
        <v>49.396816</v>
      </c>
    </row>
    <row r="728" hidden="1" spans="1:14">
      <c r="A728" s="202"/>
      <c r="B728" s="203"/>
      <c r="C728" s="203" t="s">
        <v>296</v>
      </c>
      <c r="D728" s="200">
        <f t="shared" si="382"/>
        <v>58.477504</v>
      </c>
      <c r="E728" s="204">
        <f t="shared" si="383"/>
        <v>58.477504</v>
      </c>
      <c r="F728" s="205">
        <v>58.477504</v>
      </c>
      <c r="G728" s="205"/>
      <c r="H728" s="205"/>
      <c r="I728" s="204">
        <f t="shared" si="384"/>
        <v>0</v>
      </c>
      <c r="J728" s="212"/>
      <c r="K728" s="205"/>
      <c r="L728" s="205"/>
      <c r="M728" s="213"/>
      <c r="N728" s="176">
        <f t="shared" si="367"/>
        <v>58.477504</v>
      </c>
    </row>
    <row r="729" hidden="1" spans="1:14">
      <c r="A729" s="202"/>
      <c r="B729" s="203"/>
      <c r="C729" s="203" t="s">
        <v>322</v>
      </c>
      <c r="D729" s="200">
        <f t="shared" si="382"/>
        <v>49.149395</v>
      </c>
      <c r="E729" s="204">
        <f t="shared" si="383"/>
        <v>49.149395</v>
      </c>
      <c r="F729" s="205">
        <v>49.149395</v>
      </c>
      <c r="G729" s="205"/>
      <c r="H729" s="205"/>
      <c r="I729" s="204">
        <f t="shared" si="384"/>
        <v>0</v>
      </c>
      <c r="J729" s="212"/>
      <c r="K729" s="205"/>
      <c r="L729" s="205"/>
      <c r="M729" s="213"/>
      <c r="N729" s="176">
        <f t="shared" si="367"/>
        <v>49.149395</v>
      </c>
    </row>
    <row r="730" hidden="1" spans="1:14">
      <c r="A730" s="202"/>
      <c r="B730" s="203"/>
      <c r="C730" s="203" t="s">
        <v>510</v>
      </c>
      <c r="D730" s="200">
        <f t="shared" si="382"/>
        <v>53.280784</v>
      </c>
      <c r="E730" s="204">
        <f t="shared" si="383"/>
        <v>53.280784</v>
      </c>
      <c r="F730" s="205">
        <v>53.280784</v>
      </c>
      <c r="G730" s="205"/>
      <c r="H730" s="205"/>
      <c r="I730" s="204">
        <f t="shared" si="384"/>
        <v>0</v>
      </c>
      <c r="J730" s="212"/>
      <c r="K730" s="205"/>
      <c r="L730" s="205"/>
      <c r="M730" s="213"/>
      <c r="N730" s="176">
        <f t="shared" si="367"/>
        <v>53.280784</v>
      </c>
    </row>
    <row r="731" hidden="1" spans="1:14">
      <c r="A731" s="202"/>
      <c r="B731" s="203"/>
      <c r="C731" s="203" t="s">
        <v>445</v>
      </c>
      <c r="D731" s="200">
        <f t="shared" si="382"/>
        <v>131.743328</v>
      </c>
      <c r="E731" s="204">
        <f t="shared" si="383"/>
        <v>131.743328</v>
      </c>
      <c r="F731" s="205">
        <v>131.743328</v>
      </c>
      <c r="G731" s="205"/>
      <c r="H731" s="205"/>
      <c r="I731" s="204">
        <f t="shared" si="384"/>
        <v>0</v>
      </c>
      <c r="J731" s="212"/>
      <c r="K731" s="205"/>
      <c r="L731" s="205"/>
      <c r="M731" s="213"/>
      <c r="N731" s="176">
        <f t="shared" si="367"/>
        <v>131.743328</v>
      </c>
    </row>
    <row r="732" hidden="1" spans="1:14">
      <c r="A732" s="202"/>
      <c r="B732" s="203"/>
      <c r="C732" s="203" t="s">
        <v>482</v>
      </c>
      <c r="D732" s="200">
        <f t="shared" si="382"/>
        <v>14.854352</v>
      </c>
      <c r="E732" s="204">
        <f t="shared" si="383"/>
        <v>14.854352</v>
      </c>
      <c r="F732" s="205">
        <v>14.854352</v>
      </c>
      <c r="G732" s="205"/>
      <c r="H732" s="205"/>
      <c r="I732" s="204">
        <f t="shared" si="384"/>
        <v>0</v>
      </c>
      <c r="J732" s="212"/>
      <c r="K732" s="205"/>
      <c r="L732" s="205"/>
      <c r="M732" s="213"/>
      <c r="N732" s="176">
        <f t="shared" si="367"/>
        <v>14.854352</v>
      </c>
    </row>
    <row r="733" hidden="1" spans="1:14">
      <c r="A733" s="202"/>
      <c r="B733" s="203"/>
      <c r="C733" s="203" t="s">
        <v>511</v>
      </c>
      <c r="D733" s="200">
        <f t="shared" si="382"/>
        <v>27.200592</v>
      </c>
      <c r="E733" s="204">
        <f t="shared" si="383"/>
        <v>27.200592</v>
      </c>
      <c r="F733" s="205">
        <v>27.200592</v>
      </c>
      <c r="G733" s="205"/>
      <c r="H733" s="205"/>
      <c r="I733" s="204">
        <f t="shared" si="384"/>
        <v>0</v>
      </c>
      <c r="J733" s="212"/>
      <c r="K733" s="205"/>
      <c r="L733" s="205"/>
      <c r="M733" s="213"/>
      <c r="N733" s="176">
        <f t="shared" si="367"/>
        <v>27.200592</v>
      </c>
    </row>
    <row r="734" hidden="1" spans="1:14">
      <c r="A734" s="202"/>
      <c r="B734" s="203"/>
      <c r="C734" s="203" t="s">
        <v>512</v>
      </c>
      <c r="D734" s="200">
        <f t="shared" si="382"/>
        <v>492.956333</v>
      </c>
      <c r="E734" s="204">
        <f t="shared" si="383"/>
        <v>492.956333</v>
      </c>
      <c r="F734" s="205">
        <v>492.956333</v>
      </c>
      <c r="G734" s="205"/>
      <c r="H734" s="205"/>
      <c r="I734" s="204">
        <f t="shared" si="384"/>
        <v>0</v>
      </c>
      <c r="J734" s="212"/>
      <c r="K734" s="205"/>
      <c r="L734" s="205"/>
      <c r="M734" s="213"/>
      <c r="N734" s="176">
        <f t="shared" si="367"/>
        <v>492.956333</v>
      </c>
    </row>
    <row r="735" hidden="1" spans="1:14">
      <c r="A735" s="202"/>
      <c r="B735" s="203"/>
      <c r="C735" s="203" t="s">
        <v>513</v>
      </c>
      <c r="D735" s="200">
        <f t="shared" si="382"/>
        <v>54.800461</v>
      </c>
      <c r="E735" s="204">
        <f t="shared" si="383"/>
        <v>54.800461</v>
      </c>
      <c r="F735" s="205">
        <v>54.800461</v>
      </c>
      <c r="G735" s="205"/>
      <c r="H735" s="205"/>
      <c r="I735" s="204">
        <f t="shared" si="384"/>
        <v>0</v>
      </c>
      <c r="J735" s="212"/>
      <c r="K735" s="205"/>
      <c r="L735" s="205"/>
      <c r="M735" s="213"/>
      <c r="N735" s="176">
        <f t="shared" si="367"/>
        <v>54.800461</v>
      </c>
    </row>
    <row r="736" hidden="1" spans="1:14">
      <c r="A736" s="202"/>
      <c r="B736" s="203"/>
      <c r="C736" s="203" t="s">
        <v>514</v>
      </c>
      <c r="D736" s="200">
        <f t="shared" si="382"/>
        <v>152.383293</v>
      </c>
      <c r="E736" s="204">
        <f t="shared" si="383"/>
        <v>152.383293</v>
      </c>
      <c r="F736" s="205">
        <v>152.383293</v>
      </c>
      <c r="G736" s="205"/>
      <c r="H736" s="205"/>
      <c r="I736" s="204">
        <f t="shared" si="384"/>
        <v>0</v>
      </c>
      <c r="J736" s="212"/>
      <c r="K736" s="205"/>
      <c r="L736" s="205"/>
      <c r="M736" s="213"/>
      <c r="N736" s="176">
        <f t="shared" si="367"/>
        <v>152.383293</v>
      </c>
    </row>
    <row r="737" hidden="1" spans="1:14">
      <c r="A737" s="202"/>
      <c r="B737" s="203"/>
      <c r="C737" s="203" t="s">
        <v>515</v>
      </c>
      <c r="D737" s="200">
        <f t="shared" si="382"/>
        <v>82.355248</v>
      </c>
      <c r="E737" s="204">
        <f t="shared" si="383"/>
        <v>82.355248</v>
      </c>
      <c r="F737" s="205">
        <v>82.355248</v>
      </c>
      <c r="G737" s="205"/>
      <c r="H737" s="205"/>
      <c r="I737" s="204">
        <f t="shared" si="384"/>
        <v>0</v>
      </c>
      <c r="J737" s="212"/>
      <c r="K737" s="205"/>
      <c r="L737" s="205"/>
      <c r="M737" s="213"/>
      <c r="N737" s="176">
        <f t="shared" si="367"/>
        <v>82.355248</v>
      </c>
    </row>
    <row r="738" ht="60" hidden="1" spans="1:14">
      <c r="A738" s="202"/>
      <c r="B738" s="203"/>
      <c r="C738" s="203" t="s">
        <v>516</v>
      </c>
      <c r="D738" s="200">
        <f t="shared" si="382"/>
        <v>8.562656</v>
      </c>
      <c r="E738" s="204">
        <f t="shared" si="383"/>
        <v>8.562656</v>
      </c>
      <c r="F738" s="205">
        <v>8.562656</v>
      </c>
      <c r="G738" s="205"/>
      <c r="H738" s="205"/>
      <c r="I738" s="204">
        <f t="shared" si="384"/>
        <v>0</v>
      </c>
      <c r="J738" s="212"/>
      <c r="K738" s="205"/>
      <c r="L738" s="205"/>
      <c r="M738" s="213"/>
      <c r="N738" s="176">
        <f t="shared" si="367"/>
        <v>8.562656</v>
      </c>
    </row>
    <row r="739" hidden="1" spans="1:14">
      <c r="A739" s="202"/>
      <c r="B739" s="203"/>
      <c r="C739" s="203" t="s">
        <v>343</v>
      </c>
      <c r="D739" s="200">
        <f t="shared" si="382"/>
        <v>26.94696</v>
      </c>
      <c r="E739" s="204">
        <f t="shared" si="383"/>
        <v>26.94696</v>
      </c>
      <c r="F739" s="205">
        <v>26.94696</v>
      </c>
      <c r="G739" s="205"/>
      <c r="H739" s="205"/>
      <c r="I739" s="204">
        <f t="shared" si="384"/>
        <v>0</v>
      </c>
      <c r="J739" s="212"/>
      <c r="K739" s="205"/>
      <c r="L739" s="205"/>
      <c r="M739" s="213"/>
      <c r="N739" s="176">
        <f t="shared" si="367"/>
        <v>26.94696</v>
      </c>
    </row>
    <row r="740" hidden="1" spans="1:14">
      <c r="A740" s="202"/>
      <c r="B740" s="203"/>
      <c r="C740" s="203" t="s">
        <v>501</v>
      </c>
      <c r="D740" s="200">
        <f t="shared" si="382"/>
        <v>2.75808</v>
      </c>
      <c r="E740" s="204">
        <f t="shared" si="383"/>
        <v>2.75808</v>
      </c>
      <c r="F740" s="205">
        <v>2.75808</v>
      </c>
      <c r="G740" s="205"/>
      <c r="H740" s="205"/>
      <c r="I740" s="204">
        <f t="shared" si="384"/>
        <v>0</v>
      </c>
      <c r="J740" s="212"/>
      <c r="K740" s="205"/>
      <c r="L740" s="205"/>
      <c r="M740" s="213"/>
      <c r="N740" s="176">
        <f t="shared" si="367"/>
        <v>2.75808</v>
      </c>
    </row>
    <row r="741" hidden="1" spans="1:14">
      <c r="A741" s="202"/>
      <c r="B741" s="203"/>
      <c r="C741" s="203" t="s">
        <v>503</v>
      </c>
      <c r="D741" s="200">
        <f t="shared" si="382"/>
        <v>6.15208</v>
      </c>
      <c r="E741" s="204">
        <f t="shared" si="383"/>
        <v>6.15208</v>
      </c>
      <c r="F741" s="205">
        <v>6.15208</v>
      </c>
      <c r="G741" s="205"/>
      <c r="H741" s="205"/>
      <c r="I741" s="204">
        <f t="shared" si="384"/>
        <v>0</v>
      </c>
      <c r="J741" s="212"/>
      <c r="K741" s="205"/>
      <c r="L741" s="205"/>
      <c r="M741" s="213"/>
      <c r="N741" s="176">
        <f t="shared" si="367"/>
        <v>6.15208</v>
      </c>
    </row>
    <row r="742" ht="48" hidden="1" spans="1:14">
      <c r="A742" s="202"/>
      <c r="B742" s="203"/>
      <c r="C742" s="203" t="s">
        <v>517</v>
      </c>
      <c r="D742" s="200">
        <f t="shared" si="382"/>
        <v>8.553952</v>
      </c>
      <c r="E742" s="204">
        <f t="shared" si="383"/>
        <v>8.553952</v>
      </c>
      <c r="F742" s="205">
        <v>8.553952</v>
      </c>
      <c r="G742" s="205"/>
      <c r="H742" s="205"/>
      <c r="I742" s="204">
        <f t="shared" si="384"/>
        <v>0</v>
      </c>
      <c r="J742" s="212"/>
      <c r="K742" s="205"/>
      <c r="L742" s="205"/>
      <c r="M742" s="213"/>
      <c r="N742" s="176">
        <f t="shared" si="367"/>
        <v>8.553952</v>
      </c>
    </row>
    <row r="743" hidden="1" spans="1:14">
      <c r="A743" s="202"/>
      <c r="B743" s="203"/>
      <c r="C743" s="203" t="s">
        <v>347</v>
      </c>
      <c r="D743" s="200">
        <f t="shared" si="382"/>
        <v>8.790944</v>
      </c>
      <c r="E743" s="204">
        <f t="shared" si="383"/>
        <v>8.790944</v>
      </c>
      <c r="F743" s="205">
        <v>8.790944</v>
      </c>
      <c r="G743" s="205"/>
      <c r="H743" s="205"/>
      <c r="I743" s="204">
        <f t="shared" si="384"/>
        <v>0</v>
      </c>
      <c r="J743" s="212"/>
      <c r="K743" s="205"/>
      <c r="L743" s="205"/>
      <c r="M743" s="213"/>
      <c r="N743" s="176">
        <f t="shared" si="367"/>
        <v>8.790944</v>
      </c>
    </row>
    <row r="744" ht="24" hidden="1" spans="1:14">
      <c r="A744" s="202"/>
      <c r="B744" s="203"/>
      <c r="C744" s="203" t="s">
        <v>463</v>
      </c>
      <c r="D744" s="200">
        <f t="shared" si="382"/>
        <v>6.37504</v>
      </c>
      <c r="E744" s="204">
        <f t="shared" si="383"/>
        <v>6.37504</v>
      </c>
      <c r="F744" s="205">
        <v>6.37504</v>
      </c>
      <c r="G744" s="205"/>
      <c r="H744" s="205"/>
      <c r="I744" s="204">
        <f t="shared" si="384"/>
        <v>0</v>
      </c>
      <c r="J744" s="212"/>
      <c r="K744" s="205"/>
      <c r="L744" s="205"/>
      <c r="M744" s="213"/>
      <c r="N744" s="176">
        <f t="shared" si="367"/>
        <v>6.37504</v>
      </c>
    </row>
    <row r="745" hidden="1" spans="1:14">
      <c r="A745" s="202"/>
      <c r="B745" s="203"/>
      <c r="C745" s="203" t="s">
        <v>407</v>
      </c>
      <c r="D745" s="200">
        <f t="shared" si="382"/>
        <v>97.211744</v>
      </c>
      <c r="E745" s="204">
        <f t="shared" si="383"/>
        <v>97.211744</v>
      </c>
      <c r="F745" s="205">
        <v>97.211744</v>
      </c>
      <c r="G745" s="205"/>
      <c r="H745" s="205"/>
      <c r="I745" s="204">
        <f t="shared" si="384"/>
        <v>0</v>
      </c>
      <c r="J745" s="212"/>
      <c r="K745" s="205"/>
      <c r="L745" s="205"/>
      <c r="M745" s="213"/>
      <c r="N745" s="176">
        <f t="shared" si="367"/>
        <v>97.211744</v>
      </c>
    </row>
    <row r="746" hidden="1" spans="1:14">
      <c r="A746" s="202"/>
      <c r="B746" s="203"/>
      <c r="C746" s="203" t="s">
        <v>427</v>
      </c>
      <c r="D746" s="200">
        <f t="shared" si="382"/>
        <v>23.210355</v>
      </c>
      <c r="E746" s="204">
        <f t="shared" si="383"/>
        <v>23.210355</v>
      </c>
      <c r="F746" s="205">
        <v>23.210355</v>
      </c>
      <c r="G746" s="205"/>
      <c r="H746" s="205"/>
      <c r="I746" s="204">
        <f t="shared" si="384"/>
        <v>0</v>
      </c>
      <c r="J746" s="212"/>
      <c r="K746" s="205"/>
      <c r="L746" s="205"/>
      <c r="M746" s="213"/>
      <c r="N746" s="176">
        <f t="shared" si="367"/>
        <v>23.210355</v>
      </c>
    </row>
    <row r="747" hidden="1" spans="1:14">
      <c r="A747" s="202"/>
      <c r="B747" s="203"/>
      <c r="C747" s="203" t="s">
        <v>370</v>
      </c>
      <c r="D747" s="200">
        <f t="shared" si="382"/>
        <v>15.873472</v>
      </c>
      <c r="E747" s="204">
        <f t="shared" si="383"/>
        <v>15.873472</v>
      </c>
      <c r="F747" s="205">
        <v>15.873472</v>
      </c>
      <c r="G747" s="205"/>
      <c r="H747" s="205"/>
      <c r="I747" s="204">
        <f t="shared" si="384"/>
        <v>0</v>
      </c>
      <c r="J747" s="212"/>
      <c r="K747" s="205"/>
      <c r="L747" s="205"/>
      <c r="M747" s="213"/>
      <c r="N747" s="176">
        <f t="shared" si="367"/>
        <v>15.873472</v>
      </c>
    </row>
    <row r="748" hidden="1" spans="1:14">
      <c r="A748" s="202"/>
      <c r="B748" s="203"/>
      <c r="C748" s="203" t="s">
        <v>394</v>
      </c>
      <c r="D748" s="200">
        <f t="shared" si="382"/>
        <v>22.203936</v>
      </c>
      <c r="E748" s="204">
        <f t="shared" si="383"/>
        <v>22.203936</v>
      </c>
      <c r="F748" s="205">
        <v>22.203936</v>
      </c>
      <c r="G748" s="205"/>
      <c r="H748" s="205"/>
      <c r="I748" s="204">
        <f t="shared" si="384"/>
        <v>0</v>
      </c>
      <c r="J748" s="212"/>
      <c r="K748" s="205"/>
      <c r="L748" s="205"/>
      <c r="M748" s="213"/>
      <c r="N748" s="176">
        <f t="shared" si="367"/>
        <v>22.203936</v>
      </c>
    </row>
    <row r="749" ht="48" hidden="1" spans="1:14">
      <c r="A749" s="202"/>
      <c r="B749" s="203"/>
      <c r="C749" s="203" t="s">
        <v>518</v>
      </c>
      <c r="D749" s="200">
        <f t="shared" si="382"/>
        <v>51.452634</v>
      </c>
      <c r="E749" s="204">
        <f t="shared" si="383"/>
        <v>51.452634</v>
      </c>
      <c r="F749" s="205">
        <v>51.452634</v>
      </c>
      <c r="G749" s="205"/>
      <c r="H749" s="205"/>
      <c r="I749" s="204">
        <f t="shared" si="384"/>
        <v>0</v>
      </c>
      <c r="J749" s="212"/>
      <c r="K749" s="205"/>
      <c r="L749" s="205"/>
      <c r="M749" s="213"/>
      <c r="N749" s="176">
        <f t="shared" si="367"/>
        <v>51.452634</v>
      </c>
    </row>
    <row r="750" hidden="1" spans="1:14">
      <c r="A750" s="202"/>
      <c r="B750" s="203"/>
      <c r="C750" s="203" t="s">
        <v>496</v>
      </c>
      <c r="D750" s="200">
        <f t="shared" si="382"/>
        <v>5.376138</v>
      </c>
      <c r="E750" s="204">
        <f t="shared" si="383"/>
        <v>5.376138</v>
      </c>
      <c r="F750" s="205">
        <v>5.376138</v>
      </c>
      <c r="G750" s="205"/>
      <c r="H750" s="205"/>
      <c r="I750" s="204">
        <f t="shared" si="384"/>
        <v>0</v>
      </c>
      <c r="J750" s="212"/>
      <c r="K750" s="205"/>
      <c r="L750" s="205"/>
      <c r="M750" s="213"/>
      <c r="N750" s="176">
        <f t="shared" si="367"/>
        <v>5.376138</v>
      </c>
    </row>
    <row r="751" ht="48" hidden="1" spans="1:14">
      <c r="A751" s="202"/>
      <c r="B751" s="203"/>
      <c r="C751" s="203" t="s">
        <v>519</v>
      </c>
      <c r="D751" s="200">
        <f t="shared" si="382"/>
        <v>13.888384</v>
      </c>
      <c r="E751" s="204">
        <f t="shared" si="383"/>
        <v>13.888384</v>
      </c>
      <c r="F751" s="205">
        <v>13.888384</v>
      </c>
      <c r="G751" s="205"/>
      <c r="H751" s="205"/>
      <c r="I751" s="204">
        <f t="shared" si="384"/>
        <v>0</v>
      </c>
      <c r="J751" s="212"/>
      <c r="K751" s="205"/>
      <c r="L751" s="205"/>
      <c r="M751" s="213"/>
      <c r="N751" s="176">
        <f t="shared" si="367"/>
        <v>13.888384</v>
      </c>
    </row>
    <row r="752" hidden="1" spans="1:14">
      <c r="A752" s="202"/>
      <c r="B752" s="203"/>
      <c r="C752" s="203" t="s">
        <v>471</v>
      </c>
      <c r="D752" s="200">
        <f t="shared" si="382"/>
        <v>11.8752</v>
      </c>
      <c r="E752" s="204">
        <f t="shared" si="383"/>
        <v>11.8752</v>
      </c>
      <c r="F752" s="205">
        <v>11.8752</v>
      </c>
      <c r="G752" s="205"/>
      <c r="H752" s="205"/>
      <c r="I752" s="204">
        <f t="shared" si="384"/>
        <v>0</v>
      </c>
      <c r="J752" s="212"/>
      <c r="K752" s="205"/>
      <c r="L752" s="205"/>
      <c r="M752" s="213"/>
      <c r="N752" s="176">
        <f t="shared" si="367"/>
        <v>11.8752</v>
      </c>
    </row>
    <row r="753" ht="36" hidden="1" spans="1:14">
      <c r="A753" s="202"/>
      <c r="B753" s="203"/>
      <c r="C753" s="203" t="s">
        <v>520</v>
      </c>
      <c r="D753" s="200">
        <f t="shared" si="382"/>
        <v>14.564464</v>
      </c>
      <c r="E753" s="204">
        <f t="shared" si="383"/>
        <v>14.564464</v>
      </c>
      <c r="F753" s="205">
        <v>14.564464</v>
      </c>
      <c r="G753" s="205"/>
      <c r="H753" s="205"/>
      <c r="I753" s="204">
        <f t="shared" si="384"/>
        <v>0</v>
      </c>
      <c r="J753" s="212"/>
      <c r="K753" s="205"/>
      <c r="L753" s="205"/>
      <c r="M753" s="213"/>
      <c r="N753" s="176">
        <f t="shared" si="367"/>
        <v>14.564464</v>
      </c>
    </row>
    <row r="754" hidden="1" spans="1:14">
      <c r="A754" s="202"/>
      <c r="B754" s="203"/>
      <c r="C754" s="203" t="s">
        <v>521</v>
      </c>
      <c r="D754" s="200">
        <f t="shared" si="382"/>
        <v>5.933632</v>
      </c>
      <c r="E754" s="204">
        <f t="shared" si="383"/>
        <v>5.933632</v>
      </c>
      <c r="F754" s="205">
        <v>5.933632</v>
      </c>
      <c r="G754" s="205"/>
      <c r="H754" s="205"/>
      <c r="I754" s="204">
        <f t="shared" si="384"/>
        <v>0</v>
      </c>
      <c r="J754" s="212"/>
      <c r="K754" s="205"/>
      <c r="L754" s="205"/>
      <c r="M754" s="213"/>
      <c r="N754" s="176">
        <f t="shared" si="367"/>
        <v>5.933632</v>
      </c>
    </row>
    <row r="755" hidden="1" spans="1:14">
      <c r="A755" s="202"/>
      <c r="B755" s="203"/>
      <c r="C755" s="203" t="s">
        <v>354</v>
      </c>
      <c r="D755" s="200">
        <f t="shared" si="382"/>
        <v>14.213408</v>
      </c>
      <c r="E755" s="204">
        <f t="shared" si="383"/>
        <v>14.213408</v>
      </c>
      <c r="F755" s="205">
        <v>14.213408</v>
      </c>
      <c r="G755" s="205"/>
      <c r="H755" s="205"/>
      <c r="I755" s="204">
        <f t="shared" si="384"/>
        <v>0</v>
      </c>
      <c r="J755" s="212"/>
      <c r="K755" s="205"/>
      <c r="L755" s="205"/>
      <c r="M755" s="213"/>
      <c r="N755" s="176">
        <f t="shared" si="367"/>
        <v>14.213408</v>
      </c>
    </row>
    <row r="756" ht="24" hidden="1" spans="1:14">
      <c r="A756" s="202"/>
      <c r="B756" s="203"/>
      <c r="C756" s="203" t="s">
        <v>522</v>
      </c>
      <c r="D756" s="200">
        <f t="shared" si="382"/>
        <v>174.053264</v>
      </c>
      <c r="E756" s="204">
        <f t="shared" si="383"/>
        <v>174.053264</v>
      </c>
      <c r="F756" s="205">
        <v>174.053264</v>
      </c>
      <c r="G756" s="205"/>
      <c r="H756" s="205"/>
      <c r="I756" s="204">
        <f t="shared" si="384"/>
        <v>0</v>
      </c>
      <c r="J756" s="212"/>
      <c r="K756" s="205"/>
      <c r="L756" s="205"/>
      <c r="M756" s="213"/>
      <c r="N756" s="176">
        <f t="shared" si="367"/>
        <v>174.053264</v>
      </c>
    </row>
    <row r="757" hidden="1" spans="1:14">
      <c r="A757" s="202"/>
      <c r="B757" s="203"/>
      <c r="C757" s="203" t="s">
        <v>523</v>
      </c>
      <c r="D757" s="200">
        <f t="shared" si="382"/>
        <v>47.73784</v>
      </c>
      <c r="E757" s="204">
        <f t="shared" si="383"/>
        <v>47.73784</v>
      </c>
      <c r="F757" s="205">
        <v>47.73784</v>
      </c>
      <c r="G757" s="205"/>
      <c r="H757" s="205"/>
      <c r="I757" s="204">
        <f t="shared" si="384"/>
        <v>0</v>
      </c>
      <c r="J757" s="212"/>
      <c r="K757" s="205"/>
      <c r="L757" s="205"/>
      <c r="M757" s="213"/>
      <c r="N757" s="176">
        <f t="shared" si="367"/>
        <v>47.73784</v>
      </c>
    </row>
    <row r="758" ht="48" hidden="1" spans="1:14">
      <c r="A758" s="202"/>
      <c r="B758" s="203"/>
      <c r="C758" s="203" t="s">
        <v>524</v>
      </c>
      <c r="D758" s="200">
        <f t="shared" si="382"/>
        <v>10.73024</v>
      </c>
      <c r="E758" s="204">
        <f t="shared" si="383"/>
        <v>10.73024</v>
      </c>
      <c r="F758" s="205">
        <v>10.73024</v>
      </c>
      <c r="G758" s="205"/>
      <c r="H758" s="205"/>
      <c r="I758" s="204">
        <f t="shared" si="384"/>
        <v>0</v>
      </c>
      <c r="J758" s="212"/>
      <c r="K758" s="205"/>
      <c r="L758" s="205"/>
      <c r="M758" s="213"/>
      <c r="N758" s="176">
        <f t="shared" si="367"/>
        <v>10.73024</v>
      </c>
    </row>
    <row r="759" hidden="1" spans="1:14">
      <c r="A759" s="202"/>
      <c r="B759" s="203"/>
      <c r="C759" s="203" t="s">
        <v>525</v>
      </c>
      <c r="D759" s="200">
        <f t="shared" si="382"/>
        <v>4.270464</v>
      </c>
      <c r="E759" s="204">
        <f t="shared" si="383"/>
        <v>4.270464</v>
      </c>
      <c r="F759" s="205">
        <v>4.270464</v>
      </c>
      <c r="G759" s="205"/>
      <c r="H759" s="205"/>
      <c r="I759" s="204">
        <f t="shared" si="384"/>
        <v>0</v>
      </c>
      <c r="J759" s="212"/>
      <c r="K759" s="205"/>
      <c r="L759" s="205"/>
      <c r="M759" s="213"/>
      <c r="N759" s="176">
        <f t="shared" si="367"/>
        <v>4.270464</v>
      </c>
    </row>
    <row r="760" hidden="1" spans="1:14">
      <c r="A760" s="202"/>
      <c r="B760" s="203"/>
      <c r="C760" s="203" t="s">
        <v>526</v>
      </c>
      <c r="D760" s="200">
        <f t="shared" si="382"/>
        <v>101.381062</v>
      </c>
      <c r="E760" s="204">
        <f t="shared" si="383"/>
        <v>101.381062</v>
      </c>
      <c r="F760" s="205">
        <v>101.381062</v>
      </c>
      <c r="G760" s="205"/>
      <c r="H760" s="205"/>
      <c r="I760" s="204">
        <f t="shared" si="384"/>
        <v>0</v>
      </c>
      <c r="J760" s="212"/>
      <c r="K760" s="205"/>
      <c r="L760" s="205"/>
      <c r="M760" s="213"/>
      <c r="N760" s="176">
        <f t="shared" si="367"/>
        <v>101.381062</v>
      </c>
    </row>
    <row r="761" hidden="1" spans="1:14">
      <c r="A761" s="202"/>
      <c r="B761" s="203"/>
      <c r="C761" s="203" t="s">
        <v>526</v>
      </c>
      <c r="D761" s="200">
        <f t="shared" si="382"/>
        <v>36.706219</v>
      </c>
      <c r="E761" s="204">
        <f t="shared" si="383"/>
        <v>36.706219</v>
      </c>
      <c r="F761" s="205">
        <v>36.706219</v>
      </c>
      <c r="G761" s="205"/>
      <c r="H761" s="205"/>
      <c r="I761" s="204">
        <f t="shared" si="384"/>
        <v>0</v>
      </c>
      <c r="J761" s="212"/>
      <c r="K761" s="205"/>
      <c r="L761" s="205"/>
      <c r="M761" s="213"/>
      <c r="N761" s="176">
        <f t="shared" si="367"/>
        <v>36.706219</v>
      </c>
    </row>
    <row r="762" hidden="1" spans="1:14">
      <c r="A762" s="202"/>
      <c r="B762" s="203"/>
      <c r="C762" s="203" t="s">
        <v>526</v>
      </c>
      <c r="D762" s="200">
        <f t="shared" si="382"/>
        <v>19.523939</v>
      </c>
      <c r="E762" s="204">
        <f t="shared" si="383"/>
        <v>19.523939</v>
      </c>
      <c r="F762" s="205">
        <v>19.523939</v>
      </c>
      <c r="G762" s="205"/>
      <c r="H762" s="205"/>
      <c r="I762" s="204">
        <f t="shared" si="384"/>
        <v>0</v>
      </c>
      <c r="J762" s="212"/>
      <c r="K762" s="205"/>
      <c r="L762" s="205"/>
      <c r="M762" s="213"/>
      <c r="N762" s="176">
        <f t="shared" si="367"/>
        <v>19.523939</v>
      </c>
    </row>
    <row r="763" hidden="1" spans="1:14">
      <c r="A763" s="202"/>
      <c r="B763" s="203"/>
      <c r="C763" s="203" t="s">
        <v>526</v>
      </c>
      <c r="D763" s="200">
        <f t="shared" si="382"/>
        <v>11.480842</v>
      </c>
      <c r="E763" s="204">
        <f t="shared" si="383"/>
        <v>11.480842</v>
      </c>
      <c r="F763" s="205">
        <v>11.480842</v>
      </c>
      <c r="G763" s="205"/>
      <c r="H763" s="205"/>
      <c r="I763" s="204">
        <f t="shared" si="384"/>
        <v>0</v>
      </c>
      <c r="J763" s="212"/>
      <c r="K763" s="205"/>
      <c r="L763" s="205"/>
      <c r="M763" s="213"/>
      <c r="N763" s="176">
        <f t="shared" si="367"/>
        <v>11.480842</v>
      </c>
    </row>
    <row r="764" hidden="1" spans="1:14">
      <c r="A764" s="202"/>
      <c r="B764" s="203"/>
      <c r="C764" s="203" t="s">
        <v>526</v>
      </c>
      <c r="D764" s="200">
        <f t="shared" si="382"/>
        <v>11.215206</v>
      </c>
      <c r="E764" s="204">
        <f t="shared" si="383"/>
        <v>11.215206</v>
      </c>
      <c r="F764" s="205">
        <v>11.215206</v>
      </c>
      <c r="G764" s="205"/>
      <c r="H764" s="205"/>
      <c r="I764" s="204">
        <f t="shared" si="384"/>
        <v>0</v>
      </c>
      <c r="J764" s="212"/>
      <c r="K764" s="205"/>
      <c r="L764" s="205"/>
      <c r="M764" s="213"/>
      <c r="N764" s="176">
        <f t="shared" ref="N764:N827" si="385">J764+E764</f>
        <v>11.215206</v>
      </c>
    </row>
    <row r="765" hidden="1" spans="1:14">
      <c r="A765" s="202"/>
      <c r="B765" s="203"/>
      <c r="C765" s="203" t="s">
        <v>526</v>
      </c>
      <c r="D765" s="200">
        <f t="shared" si="382"/>
        <v>18.21943</v>
      </c>
      <c r="E765" s="204">
        <f t="shared" si="383"/>
        <v>18.21943</v>
      </c>
      <c r="F765" s="205">
        <v>18.21943</v>
      </c>
      <c r="G765" s="205"/>
      <c r="H765" s="205"/>
      <c r="I765" s="204">
        <f t="shared" si="384"/>
        <v>0</v>
      </c>
      <c r="J765" s="212"/>
      <c r="K765" s="205"/>
      <c r="L765" s="205"/>
      <c r="M765" s="213"/>
      <c r="N765" s="176">
        <f t="shared" si="385"/>
        <v>18.21943</v>
      </c>
    </row>
    <row r="766" hidden="1" spans="1:14">
      <c r="A766" s="202"/>
      <c r="B766" s="203"/>
      <c r="C766" s="203" t="s">
        <v>526</v>
      </c>
      <c r="D766" s="200">
        <f t="shared" si="382"/>
        <v>2.830912</v>
      </c>
      <c r="E766" s="204">
        <f t="shared" si="383"/>
        <v>2.830912</v>
      </c>
      <c r="F766" s="205">
        <v>2.830912</v>
      </c>
      <c r="G766" s="205"/>
      <c r="H766" s="205"/>
      <c r="I766" s="204">
        <f t="shared" si="384"/>
        <v>0</v>
      </c>
      <c r="J766" s="212"/>
      <c r="K766" s="205"/>
      <c r="L766" s="205"/>
      <c r="M766" s="213"/>
      <c r="N766" s="176">
        <f t="shared" si="385"/>
        <v>2.830912</v>
      </c>
    </row>
    <row r="767" hidden="1" spans="1:14">
      <c r="A767" s="202"/>
      <c r="B767" s="203"/>
      <c r="C767" s="203" t="s">
        <v>526</v>
      </c>
      <c r="D767" s="200">
        <f t="shared" si="382"/>
        <v>3.73876</v>
      </c>
      <c r="E767" s="204">
        <f t="shared" si="383"/>
        <v>3.73876</v>
      </c>
      <c r="F767" s="205">
        <v>3.73876</v>
      </c>
      <c r="G767" s="205"/>
      <c r="H767" s="205"/>
      <c r="I767" s="204">
        <f t="shared" si="384"/>
        <v>0</v>
      </c>
      <c r="J767" s="212"/>
      <c r="K767" s="205"/>
      <c r="L767" s="205"/>
      <c r="M767" s="213"/>
      <c r="N767" s="176">
        <f t="shared" si="385"/>
        <v>3.73876</v>
      </c>
    </row>
    <row r="768" hidden="1" spans="1:14">
      <c r="A768" s="202"/>
      <c r="B768" s="203"/>
      <c r="C768" s="203" t="s">
        <v>526</v>
      </c>
      <c r="D768" s="200">
        <f t="shared" si="382"/>
        <v>3.95137</v>
      </c>
      <c r="E768" s="204">
        <f t="shared" si="383"/>
        <v>3.95137</v>
      </c>
      <c r="F768" s="205">
        <v>3.95137</v>
      </c>
      <c r="G768" s="205"/>
      <c r="H768" s="205"/>
      <c r="I768" s="204">
        <f t="shared" si="384"/>
        <v>0</v>
      </c>
      <c r="J768" s="212"/>
      <c r="K768" s="205"/>
      <c r="L768" s="205"/>
      <c r="M768" s="213"/>
      <c r="N768" s="176">
        <f t="shared" si="385"/>
        <v>3.95137</v>
      </c>
    </row>
    <row r="769" hidden="1" spans="1:14">
      <c r="A769" s="202"/>
      <c r="B769" s="203"/>
      <c r="C769" s="203" t="s">
        <v>526</v>
      </c>
      <c r="D769" s="200">
        <f t="shared" si="382"/>
        <v>4.88287</v>
      </c>
      <c r="E769" s="204">
        <f t="shared" si="383"/>
        <v>4.88287</v>
      </c>
      <c r="F769" s="205">
        <v>4.88287</v>
      </c>
      <c r="G769" s="205"/>
      <c r="H769" s="205"/>
      <c r="I769" s="204">
        <f t="shared" si="384"/>
        <v>0</v>
      </c>
      <c r="J769" s="212"/>
      <c r="K769" s="205"/>
      <c r="L769" s="205"/>
      <c r="M769" s="213"/>
      <c r="N769" s="176">
        <f t="shared" si="385"/>
        <v>4.88287</v>
      </c>
    </row>
    <row r="770" hidden="1" spans="1:14">
      <c r="A770" s="202"/>
      <c r="B770" s="203"/>
      <c r="C770" s="203" t="s">
        <v>526</v>
      </c>
      <c r="D770" s="200">
        <f t="shared" si="382"/>
        <v>3.986834</v>
      </c>
      <c r="E770" s="204">
        <f t="shared" si="383"/>
        <v>3.986834</v>
      </c>
      <c r="F770" s="205">
        <v>3.986834</v>
      </c>
      <c r="G770" s="205"/>
      <c r="H770" s="205"/>
      <c r="I770" s="204">
        <f t="shared" si="384"/>
        <v>0</v>
      </c>
      <c r="J770" s="212"/>
      <c r="K770" s="205"/>
      <c r="L770" s="205"/>
      <c r="M770" s="213"/>
      <c r="N770" s="176">
        <f t="shared" si="385"/>
        <v>3.986834</v>
      </c>
    </row>
    <row r="771" hidden="1" spans="1:14">
      <c r="A771" s="202"/>
      <c r="B771" s="203"/>
      <c r="C771" s="203" t="s">
        <v>526</v>
      </c>
      <c r="D771" s="200">
        <f t="shared" si="382"/>
        <v>4.027078</v>
      </c>
      <c r="E771" s="204">
        <f t="shared" si="383"/>
        <v>4.027078</v>
      </c>
      <c r="F771" s="205">
        <v>4.027078</v>
      </c>
      <c r="G771" s="205"/>
      <c r="H771" s="205"/>
      <c r="I771" s="204">
        <f t="shared" si="384"/>
        <v>0</v>
      </c>
      <c r="J771" s="212"/>
      <c r="K771" s="205"/>
      <c r="L771" s="205"/>
      <c r="M771" s="213"/>
      <c r="N771" s="176">
        <f t="shared" si="385"/>
        <v>4.027078</v>
      </c>
    </row>
    <row r="772" hidden="1" spans="1:14">
      <c r="A772" s="202"/>
      <c r="B772" s="203"/>
      <c r="C772" s="203" t="s">
        <v>526</v>
      </c>
      <c r="D772" s="200">
        <f t="shared" si="382"/>
        <v>3.995528</v>
      </c>
      <c r="E772" s="204">
        <f t="shared" si="383"/>
        <v>3.995528</v>
      </c>
      <c r="F772" s="205">
        <v>3.995528</v>
      </c>
      <c r="G772" s="205"/>
      <c r="H772" s="205"/>
      <c r="I772" s="204">
        <f t="shared" si="384"/>
        <v>0</v>
      </c>
      <c r="J772" s="212"/>
      <c r="K772" s="205"/>
      <c r="L772" s="205"/>
      <c r="M772" s="213"/>
      <c r="N772" s="176">
        <f t="shared" si="385"/>
        <v>3.995528</v>
      </c>
    </row>
    <row r="773" hidden="1" spans="1:14">
      <c r="A773" s="202"/>
      <c r="B773" s="203"/>
      <c r="C773" s="203" t="s">
        <v>526</v>
      </c>
      <c r="D773" s="200">
        <f t="shared" si="382"/>
        <v>3.856704</v>
      </c>
      <c r="E773" s="204">
        <f t="shared" si="383"/>
        <v>3.856704</v>
      </c>
      <c r="F773" s="205">
        <v>3.856704</v>
      </c>
      <c r="G773" s="205"/>
      <c r="H773" s="205"/>
      <c r="I773" s="204">
        <f t="shared" si="384"/>
        <v>0</v>
      </c>
      <c r="J773" s="212"/>
      <c r="K773" s="205"/>
      <c r="L773" s="205"/>
      <c r="M773" s="213"/>
      <c r="N773" s="176">
        <f t="shared" si="385"/>
        <v>3.856704</v>
      </c>
    </row>
    <row r="774" hidden="1" spans="1:14">
      <c r="A774" s="202"/>
      <c r="B774" s="203"/>
      <c r="C774" s="203" t="s">
        <v>526</v>
      </c>
      <c r="D774" s="200">
        <f t="shared" si="382"/>
        <v>3.740819</v>
      </c>
      <c r="E774" s="204">
        <f t="shared" si="383"/>
        <v>3.740819</v>
      </c>
      <c r="F774" s="205">
        <v>3.740819</v>
      </c>
      <c r="G774" s="205"/>
      <c r="H774" s="205"/>
      <c r="I774" s="204">
        <f t="shared" si="384"/>
        <v>0</v>
      </c>
      <c r="J774" s="212"/>
      <c r="K774" s="205"/>
      <c r="L774" s="205"/>
      <c r="M774" s="213"/>
      <c r="N774" s="176">
        <f t="shared" si="385"/>
        <v>3.740819</v>
      </c>
    </row>
    <row r="775" hidden="1" spans="1:14">
      <c r="A775" s="202"/>
      <c r="B775" s="203"/>
      <c r="C775" s="203" t="s">
        <v>526</v>
      </c>
      <c r="D775" s="200">
        <f t="shared" si="382"/>
        <v>3.931693</v>
      </c>
      <c r="E775" s="204">
        <f t="shared" si="383"/>
        <v>3.931693</v>
      </c>
      <c r="F775" s="205">
        <v>3.931693</v>
      </c>
      <c r="G775" s="205"/>
      <c r="H775" s="205"/>
      <c r="I775" s="204">
        <f t="shared" si="384"/>
        <v>0</v>
      </c>
      <c r="J775" s="212"/>
      <c r="K775" s="205"/>
      <c r="L775" s="205"/>
      <c r="M775" s="213"/>
      <c r="N775" s="176">
        <f t="shared" si="385"/>
        <v>3.931693</v>
      </c>
    </row>
    <row r="776" hidden="1" spans="1:14">
      <c r="A776" s="202"/>
      <c r="B776" s="203"/>
      <c r="C776" s="203" t="s">
        <v>526</v>
      </c>
      <c r="D776" s="200">
        <f t="shared" si="382"/>
        <v>3.524683</v>
      </c>
      <c r="E776" s="204">
        <f t="shared" si="383"/>
        <v>3.524683</v>
      </c>
      <c r="F776" s="205">
        <v>3.524683</v>
      </c>
      <c r="G776" s="205"/>
      <c r="H776" s="205"/>
      <c r="I776" s="204">
        <f t="shared" si="384"/>
        <v>0</v>
      </c>
      <c r="J776" s="212"/>
      <c r="K776" s="205"/>
      <c r="L776" s="205"/>
      <c r="M776" s="213"/>
      <c r="N776" s="176">
        <f t="shared" si="385"/>
        <v>3.524683</v>
      </c>
    </row>
    <row r="777" hidden="1" spans="1:14">
      <c r="A777" s="202"/>
      <c r="B777" s="203"/>
      <c r="C777" s="203" t="s">
        <v>526</v>
      </c>
      <c r="D777" s="200">
        <f t="shared" si="382"/>
        <v>112.226896</v>
      </c>
      <c r="E777" s="204">
        <f t="shared" si="383"/>
        <v>112.226896</v>
      </c>
      <c r="F777" s="205">
        <v>112.226896</v>
      </c>
      <c r="G777" s="205"/>
      <c r="H777" s="205"/>
      <c r="I777" s="204">
        <f t="shared" si="384"/>
        <v>0</v>
      </c>
      <c r="J777" s="212"/>
      <c r="K777" s="205"/>
      <c r="L777" s="205"/>
      <c r="M777" s="213"/>
      <c r="N777" s="176">
        <f t="shared" si="385"/>
        <v>112.226896</v>
      </c>
    </row>
    <row r="778" hidden="1" spans="1:14">
      <c r="A778" s="202"/>
      <c r="B778" s="203"/>
      <c r="C778" s="203" t="s">
        <v>526</v>
      </c>
      <c r="D778" s="200">
        <f t="shared" si="382"/>
        <v>119.489536</v>
      </c>
      <c r="E778" s="204">
        <f t="shared" si="383"/>
        <v>119.489536</v>
      </c>
      <c r="F778" s="205">
        <v>119.489536</v>
      </c>
      <c r="G778" s="205"/>
      <c r="H778" s="205"/>
      <c r="I778" s="204">
        <f t="shared" si="384"/>
        <v>0</v>
      </c>
      <c r="J778" s="212"/>
      <c r="K778" s="205"/>
      <c r="L778" s="205"/>
      <c r="M778" s="213"/>
      <c r="N778" s="176">
        <f t="shared" si="385"/>
        <v>119.489536</v>
      </c>
    </row>
    <row r="779" hidden="1" spans="1:14">
      <c r="A779" s="202"/>
      <c r="B779" s="203"/>
      <c r="C779" s="203" t="s">
        <v>526</v>
      </c>
      <c r="D779" s="200">
        <f t="shared" si="382"/>
        <v>289.458554</v>
      </c>
      <c r="E779" s="204">
        <f t="shared" si="383"/>
        <v>289.458554</v>
      </c>
      <c r="F779" s="205">
        <v>289.458554</v>
      </c>
      <c r="G779" s="205"/>
      <c r="H779" s="205"/>
      <c r="I779" s="204">
        <f t="shared" si="384"/>
        <v>0</v>
      </c>
      <c r="J779" s="212"/>
      <c r="K779" s="205"/>
      <c r="L779" s="205"/>
      <c r="M779" s="213"/>
      <c r="N779" s="176">
        <f t="shared" si="385"/>
        <v>289.458554</v>
      </c>
    </row>
    <row r="780" hidden="1" spans="1:14">
      <c r="A780" s="202"/>
      <c r="B780" s="203"/>
      <c r="C780" s="203" t="s">
        <v>526</v>
      </c>
      <c r="D780" s="200">
        <f t="shared" si="382"/>
        <v>86.951096</v>
      </c>
      <c r="E780" s="204">
        <f t="shared" si="383"/>
        <v>86.951096</v>
      </c>
      <c r="F780" s="205">
        <v>86.951096</v>
      </c>
      <c r="G780" s="205"/>
      <c r="H780" s="205"/>
      <c r="I780" s="204">
        <f t="shared" si="384"/>
        <v>0</v>
      </c>
      <c r="J780" s="212"/>
      <c r="K780" s="205"/>
      <c r="L780" s="205"/>
      <c r="M780" s="213"/>
      <c r="N780" s="176">
        <f t="shared" si="385"/>
        <v>86.951096</v>
      </c>
    </row>
    <row r="781" hidden="1" spans="1:14">
      <c r="A781" s="202"/>
      <c r="B781" s="203"/>
      <c r="C781" s="203" t="s">
        <v>526</v>
      </c>
      <c r="D781" s="200">
        <f t="shared" si="382"/>
        <v>69.247648</v>
      </c>
      <c r="E781" s="204">
        <f t="shared" si="383"/>
        <v>69.247648</v>
      </c>
      <c r="F781" s="205">
        <v>69.247648</v>
      </c>
      <c r="G781" s="205"/>
      <c r="H781" s="205"/>
      <c r="I781" s="204">
        <f t="shared" si="384"/>
        <v>0</v>
      </c>
      <c r="J781" s="212"/>
      <c r="K781" s="205"/>
      <c r="L781" s="205"/>
      <c r="M781" s="213"/>
      <c r="N781" s="176">
        <f t="shared" si="385"/>
        <v>69.247648</v>
      </c>
    </row>
    <row r="782" hidden="1" spans="1:14">
      <c r="A782" s="202"/>
      <c r="B782" s="203"/>
      <c r="C782" s="203" t="s">
        <v>526</v>
      </c>
      <c r="D782" s="200">
        <f t="shared" si="382"/>
        <v>76.56264</v>
      </c>
      <c r="E782" s="204">
        <f t="shared" si="383"/>
        <v>76.56264</v>
      </c>
      <c r="F782" s="205">
        <v>76.56264</v>
      </c>
      <c r="G782" s="205"/>
      <c r="H782" s="205"/>
      <c r="I782" s="204">
        <f t="shared" si="384"/>
        <v>0</v>
      </c>
      <c r="J782" s="212"/>
      <c r="K782" s="205"/>
      <c r="L782" s="205"/>
      <c r="M782" s="213"/>
      <c r="N782" s="176">
        <f t="shared" si="385"/>
        <v>76.56264</v>
      </c>
    </row>
    <row r="783" hidden="1" spans="1:14">
      <c r="A783" s="202"/>
      <c r="B783" s="203"/>
      <c r="C783" s="203" t="s">
        <v>526</v>
      </c>
      <c r="D783" s="200">
        <f t="shared" si="382"/>
        <v>56.510104</v>
      </c>
      <c r="E783" s="204">
        <f t="shared" si="383"/>
        <v>56.510104</v>
      </c>
      <c r="F783" s="205">
        <v>56.510104</v>
      </c>
      <c r="G783" s="205"/>
      <c r="H783" s="205"/>
      <c r="I783" s="204">
        <f t="shared" si="384"/>
        <v>0</v>
      </c>
      <c r="J783" s="212"/>
      <c r="K783" s="205"/>
      <c r="L783" s="205"/>
      <c r="M783" s="213"/>
      <c r="N783" s="176">
        <f t="shared" si="385"/>
        <v>56.510104</v>
      </c>
    </row>
    <row r="784" hidden="1" spans="1:14">
      <c r="A784" s="202"/>
      <c r="B784" s="203"/>
      <c r="C784" s="203" t="s">
        <v>526</v>
      </c>
      <c r="D784" s="200">
        <f t="shared" si="382"/>
        <v>90.813552</v>
      </c>
      <c r="E784" s="204">
        <f t="shared" si="383"/>
        <v>90.813552</v>
      </c>
      <c r="F784" s="205">
        <v>90.813552</v>
      </c>
      <c r="G784" s="205"/>
      <c r="H784" s="205"/>
      <c r="I784" s="204">
        <f t="shared" si="384"/>
        <v>0</v>
      </c>
      <c r="J784" s="212"/>
      <c r="K784" s="205"/>
      <c r="L784" s="205"/>
      <c r="M784" s="213"/>
      <c r="N784" s="176">
        <f t="shared" si="385"/>
        <v>90.813552</v>
      </c>
    </row>
    <row r="785" hidden="1" spans="1:14">
      <c r="A785" s="202"/>
      <c r="B785" s="203"/>
      <c r="C785" s="203" t="s">
        <v>526</v>
      </c>
      <c r="D785" s="200">
        <f t="shared" si="382"/>
        <v>137.056624</v>
      </c>
      <c r="E785" s="204">
        <f t="shared" si="383"/>
        <v>137.056624</v>
      </c>
      <c r="F785" s="205">
        <v>137.056624</v>
      </c>
      <c r="G785" s="205"/>
      <c r="H785" s="205"/>
      <c r="I785" s="204">
        <f t="shared" si="384"/>
        <v>0</v>
      </c>
      <c r="J785" s="212"/>
      <c r="K785" s="205"/>
      <c r="L785" s="205"/>
      <c r="M785" s="213"/>
      <c r="N785" s="176">
        <f t="shared" si="385"/>
        <v>137.056624</v>
      </c>
    </row>
    <row r="786" hidden="1" spans="1:14">
      <c r="A786" s="202"/>
      <c r="B786" s="203"/>
      <c r="C786" s="203" t="s">
        <v>526</v>
      </c>
      <c r="D786" s="200">
        <f t="shared" si="382"/>
        <v>136.308032</v>
      </c>
      <c r="E786" s="204">
        <f t="shared" si="383"/>
        <v>136.308032</v>
      </c>
      <c r="F786" s="205">
        <v>136.308032</v>
      </c>
      <c r="G786" s="205"/>
      <c r="H786" s="205"/>
      <c r="I786" s="204">
        <f t="shared" si="384"/>
        <v>0</v>
      </c>
      <c r="J786" s="212"/>
      <c r="K786" s="205"/>
      <c r="L786" s="205"/>
      <c r="M786" s="213"/>
      <c r="N786" s="176">
        <f t="shared" si="385"/>
        <v>136.308032</v>
      </c>
    </row>
    <row r="787" hidden="1" spans="1:14">
      <c r="A787" s="202"/>
      <c r="B787" s="203"/>
      <c r="C787" s="203" t="s">
        <v>526</v>
      </c>
      <c r="D787" s="200">
        <f t="shared" si="382"/>
        <v>173.462224</v>
      </c>
      <c r="E787" s="204">
        <f t="shared" si="383"/>
        <v>173.462224</v>
      </c>
      <c r="F787" s="205">
        <v>173.462224</v>
      </c>
      <c r="G787" s="205"/>
      <c r="H787" s="205"/>
      <c r="I787" s="204">
        <f t="shared" si="384"/>
        <v>0</v>
      </c>
      <c r="J787" s="212"/>
      <c r="K787" s="205"/>
      <c r="L787" s="205"/>
      <c r="M787" s="213"/>
      <c r="N787" s="176">
        <f t="shared" si="385"/>
        <v>173.462224</v>
      </c>
    </row>
    <row r="788" hidden="1" spans="1:14">
      <c r="A788" s="202"/>
      <c r="B788" s="203"/>
      <c r="C788" s="203" t="s">
        <v>526</v>
      </c>
      <c r="D788" s="200">
        <f t="shared" si="382"/>
        <v>89.919312</v>
      </c>
      <c r="E788" s="204">
        <f t="shared" si="383"/>
        <v>89.919312</v>
      </c>
      <c r="F788" s="205">
        <v>89.919312</v>
      </c>
      <c r="G788" s="205"/>
      <c r="H788" s="205"/>
      <c r="I788" s="204">
        <f t="shared" si="384"/>
        <v>0</v>
      </c>
      <c r="J788" s="212"/>
      <c r="K788" s="205"/>
      <c r="L788" s="205"/>
      <c r="M788" s="213"/>
      <c r="N788" s="176">
        <f t="shared" si="385"/>
        <v>89.919312</v>
      </c>
    </row>
    <row r="789" hidden="1" spans="1:14">
      <c r="A789" s="202"/>
      <c r="B789" s="203"/>
      <c r="C789" s="203" t="s">
        <v>526</v>
      </c>
      <c r="D789" s="200">
        <f t="shared" si="382"/>
        <v>175.989072</v>
      </c>
      <c r="E789" s="204">
        <f t="shared" si="383"/>
        <v>175.989072</v>
      </c>
      <c r="F789" s="205">
        <v>175.989072</v>
      </c>
      <c r="G789" s="205"/>
      <c r="H789" s="205"/>
      <c r="I789" s="204">
        <f t="shared" si="384"/>
        <v>0</v>
      </c>
      <c r="J789" s="212"/>
      <c r="K789" s="205"/>
      <c r="L789" s="205"/>
      <c r="M789" s="213"/>
      <c r="N789" s="176">
        <f t="shared" si="385"/>
        <v>175.989072</v>
      </c>
    </row>
    <row r="790" hidden="1" spans="1:14">
      <c r="A790" s="202"/>
      <c r="B790" s="203"/>
      <c r="C790" s="203" t="s">
        <v>526</v>
      </c>
      <c r="D790" s="200">
        <f t="shared" ref="D790:D853" si="386">E790+I790</f>
        <v>170.152224</v>
      </c>
      <c r="E790" s="204">
        <f t="shared" ref="E790:E853" si="387">SUM(F790:H790)</f>
        <v>170.152224</v>
      </c>
      <c r="F790" s="205">
        <v>170.152224</v>
      </c>
      <c r="G790" s="205"/>
      <c r="H790" s="205"/>
      <c r="I790" s="204">
        <f t="shared" ref="I790:I853" si="388">SUM(J790:L790)</f>
        <v>0</v>
      </c>
      <c r="J790" s="212"/>
      <c r="K790" s="205"/>
      <c r="L790" s="205"/>
      <c r="M790" s="213"/>
      <c r="N790" s="176">
        <f t="shared" si="385"/>
        <v>170.152224</v>
      </c>
    </row>
    <row r="791" hidden="1" spans="1:14">
      <c r="A791" s="202"/>
      <c r="B791" s="203"/>
      <c r="C791" s="203" t="s">
        <v>526</v>
      </c>
      <c r="D791" s="200">
        <f t="shared" si="386"/>
        <v>118.054806</v>
      </c>
      <c r="E791" s="204">
        <f t="shared" si="387"/>
        <v>118.054806</v>
      </c>
      <c r="F791" s="205">
        <v>118.054806</v>
      </c>
      <c r="G791" s="205"/>
      <c r="H791" s="205"/>
      <c r="I791" s="204">
        <f t="shared" si="388"/>
        <v>0</v>
      </c>
      <c r="J791" s="212"/>
      <c r="K791" s="205"/>
      <c r="L791" s="205"/>
      <c r="M791" s="213"/>
      <c r="N791" s="176">
        <f t="shared" si="385"/>
        <v>118.054806</v>
      </c>
    </row>
    <row r="792" hidden="1" spans="1:14">
      <c r="A792" s="202"/>
      <c r="B792" s="203"/>
      <c r="C792" s="203" t="s">
        <v>526</v>
      </c>
      <c r="D792" s="200">
        <f t="shared" si="386"/>
        <v>296.933299</v>
      </c>
      <c r="E792" s="204">
        <f t="shared" si="387"/>
        <v>296.933299</v>
      </c>
      <c r="F792" s="205">
        <v>296.933299</v>
      </c>
      <c r="G792" s="205"/>
      <c r="H792" s="205"/>
      <c r="I792" s="204">
        <f t="shared" si="388"/>
        <v>0</v>
      </c>
      <c r="J792" s="212"/>
      <c r="K792" s="205"/>
      <c r="L792" s="205"/>
      <c r="M792" s="213"/>
      <c r="N792" s="176">
        <f t="shared" si="385"/>
        <v>296.933299</v>
      </c>
    </row>
    <row r="793" hidden="1" spans="1:14">
      <c r="A793" s="202"/>
      <c r="B793" s="203"/>
      <c r="C793" s="203" t="s">
        <v>526</v>
      </c>
      <c r="D793" s="200">
        <f t="shared" si="386"/>
        <v>319.687536</v>
      </c>
      <c r="E793" s="204">
        <f t="shared" si="387"/>
        <v>319.687536</v>
      </c>
      <c r="F793" s="205">
        <v>319.687536</v>
      </c>
      <c r="G793" s="205"/>
      <c r="H793" s="205"/>
      <c r="I793" s="204">
        <f t="shared" si="388"/>
        <v>0</v>
      </c>
      <c r="J793" s="212"/>
      <c r="K793" s="205"/>
      <c r="L793" s="205"/>
      <c r="M793" s="213"/>
      <c r="N793" s="176">
        <f t="shared" si="385"/>
        <v>319.687536</v>
      </c>
    </row>
    <row r="794" hidden="1" spans="1:14">
      <c r="A794" s="202"/>
      <c r="B794" s="203"/>
      <c r="C794" s="203" t="s">
        <v>526</v>
      </c>
      <c r="D794" s="200">
        <f t="shared" si="386"/>
        <v>227.766899</v>
      </c>
      <c r="E794" s="204">
        <f t="shared" si="387"/>
        <v>227.766899</v>
      </c>
      <c r="F794" s="205">
        <v>227.766899</v>
      </c>
      <c r="G794" s="205"/>
      <c r="H794" s="205"/>
      <c r="I794" s="204">
        <f t="shared" si="388"/>
        <v>0</v>
      </c>
      <c r="J794" s="212"/>
      <c r="K794" s="205"/>
      <c r="L794" s="205"/>
      <c r="M794" s="213"/>
      <c r="N794" s="176">
        <f t="shared" si="385"/>
        <v>227.766899</v>
      </c>
    </row>
    <row r="795" hidden="1" spans="1:14">
      <c r="A795" s="202"/>
      <c r="B795" s="203"/>
      <c r="C795" s="203" t="s">
        <v>526</v>
      </c>
      <c r="D795" s="200">
        <f t="shared" si="386"/>
        <v>188.788608</v>
      </c>
      <c r="E795" s="204">
        <f t="shared" si="387"/>
        <v>188.788608</v>
      </c>
      <c r="F795" s="205">
        <v>188.788608</v>
      </c>
      <c r="G795" s="205"/>
      <c r="H795" s="205"/>
      <c r="I795" s="204">
        <f t="shared" si="388"/>
        <v>0</v>
      </c>
      <c r="J795" s="212"/>
      <c r="K795" s="205"/>
      <c r="L795" s="205"/>
      <c r="M795" s="213"/>
      <c r="N795" s="176">
        <f t="shared" si="385"/>
        <v>188.788608</v>
      </c>
    </row>
    <row r="796" hidden="1" spans="1:14">
      <c r="A796" s="202"/>
      <c r="B796" s="203"/>
      <c r="C796" s="203" t="s">
        <v>526</v>
      </c>
      <c r="D796" s="200">
        <f t="shared" si="386"/>
        <v>145.546656</v>
      </c>
      <c r="E796" s="204">
        <f t="shared" si="387"/>
        <v>145.546656</v>
      </c>
      <c r="F796" s="205">
        <v>145.546656</v>
      </c>
      <c r="G796" s="205"/>
      <c r="H796" s="205"/>
      <c r="I796" s="204">
        <f t="shared" si="388"/>
        <v>0</v>
      </c>
      <c r="J796" s="212"/>
      <c r="K796" s="205"/>
      <c r="L796" s="205"/>
      <c r="M796" s="213"/>
      <c r="N796" s="176">
        <f t="shared" si="385"/>
        <v>145.546656</v>
      </c>
    </row>
    <row r="797" hidden="1" spans="1:14">
      <c r="A797" s="202"/>
      <c r="B797" s="203"/>
      <c r="C797" s="203" t="s">
        <v>526</v>
      </c>
      <c r="D797" s="200">
        <f t="shared" si="386"/>
        <v>176.421997</v>
      </c>
      <c r="E797" s="204">
        <f t="shared" si="387"/>
        <v>176.421997</v>
      </c>
      <c r="F797" s="205">
        <v>176.421997</v>
      </c>
      <c r="G797" s="205"/>
      <c r="H797" s="205"/>
      <c r="I797" s="204">
        <f t="shared" si="388"/>
        <v>0</v>
      </c>
      <c r="J797" s="212"/>
      <c r="K797" s="205"/>
      <c r="L797" s="205"/>
      <c r="M797" s="213"/>
      <c r="N797" s="176">
        <f t="shared" si="385"/>
        <v>176.421997</v>
      </c>
    </row>
    <row r="798" hidden="1" spans="1:14">
      <c r="A798" s="202"/>
      <c r="B798" s="203"/>
      <c r="C798" s="203" t="s">
        <v>526</v>
      </c>
      <c r="D798" s="200">
        <f t="shared" si="386"/>
        <v>99.112432</v>
      </c>
      <c r="E798" s="204">
        <f t="shared" si="387"/>
        <v>99.112432</v>
      </c>
      <c r="F798" s="205">
        <v>99.112432</v>
      </c>
      <c r="G798" s="205"/>
      <c r="H798" s="205"/>
      <c r="I798" s="204">
        <f t="shared" si="388"/>
        <v>0</v>
      </c>
      <c r="J798" s="212"/>
      <c r="K798" s="205"/>
      <c r="L798" s="205"/>
      <c r="M798" s="213"/>
      <c r="N798" s="176">
        <f t="shared" si="385"/>
        <v>99.112432</v>
      </c>
    </row>
    <row r="799" hidden="1" spans="1:14">
      <c r="A799" s="202"/>
      <c r="B799" s="203"/>
      <c r="C799" s="203" t="s">
        <v>526</v>
      </c>
      <c r="D799" s="200">
        <f t="shared" si="386"/>
        <v>62.398976</v>
      </c>
      <c r="E799" s="204">
        <f t="shared" si="387"/>
        <v>62.398976</v>
      </c>
      <c r="F799" s="205">
        <v>62.398976</v>
      </c>
      <c r="G799" s="205"/>
      <c r="H799" s="205"/>
      <c r="I799" s="204">
        <f t="shared" si="388"/>
        <v>0</v>
      </c>
      <c r="J799" s="212"/>
      <c r="K799" s="205"/>
      <c r="L799" s="205"/>
      <c r="M799" s="213"/>
      <c r="N799" s="176">
        <f t="shared" si="385"/>
        <v>62.398976</v>
      </c>
    </row>
    <row r="800" hidden="1" spans="1:14">
      <c r="A800" s="202"/>
      <c r="B800" s="203"/>
      <c r="C800" s="203" t="s">
        <v>526</v>
      </c>
      <c r="D800" s="200">
        <f t="shared" si="386"/>
        <v>95.53992</v>
      </c>
      <c r="E800" s="204">
        <f t="shared" si="387"/>
        <v>95.53992</v>
      </c>
      <c r="F800" s="205">
        <v>95.53992</v>
      </c>
      <c r="G800" s="205"/>
      <c r="H800" s="205"/>
      <c r="I800" s="204">
        <f t="shared" si="388"/>
        <v>0</v>
      </c>
      <c r="J800" s="212"/>
      <c r="K800" s="205"/>
      <c r="L800" s="205"/>
      <c r="M800" s="213"/>
      <c r="N800" s="176">
        <f t="shared" si="385"/>
        <v>95.53992</v>
      </c>
    </row>
    <row r="801" hidden="1" spans="1:14">
      <c r="A801" s="202"/>
      <c r="B801" s="203"/>
      <c r="C801" s="203" t="s">
        <v>526</v>
      </c>
      <c r="D801" s="200">
        <f t="shared" si="386"/>
        <v>42.657651</v>
      </c>
      <c r="E801" s="204">
        <f t="shared" si="387"/>
        <v>42.657651</v>
      </c>
      <c r="F801" s="205">
        <v>42.657651</v>
      </c>
      <c r="G801" s="205"/>
      <c r="H801" s="205"/>
      <c r="I801" s="204">
        <f t="shared" si="388"/>
        <v>0</v>
      </c>
      <c r="J801" s="212"/>
      <c r="K801" s="205"/>
      <c r="L801" s="205"/>
      <c r="M801" s="213"/>
      <c r="N801" s="176">
        <f t="shared" si="385"/>
        <v>42.657651</v>
      </c>
    </row>
    <row r="802" hidden="1" spans="1:14">
      <c r="A802" s="202"/>
      <c r="B802" s="203"/>
      <c r="C802" s="203" t="s">
        <v>526</v>
      </c>
      <c r="D802" s="200">
        <f t="shared" si="386"/>
        <v>99.371888</v>
      </c>
      <c r="E802" s="204">
        <f t="shared" si="387"/>
        <v>99.371888</v>
      </c>
      <c r="F802" s="205">
        <v>99.371888</v>
      </c>
      <c r="G802" s="205"/>
      <c r="H802" s="205"/>
      <c r="I802" s="204">
        <f t="shared" si="388"/>
        <v>0</v>
      </c>
      <c r="J802" s="212"/>
      <c r="K802" s="205"/>
      <c r="L802" s="205"/>
      <c r="M802" s="213"/>
      <c r="N802" s="176">
        <f t="shared" si="385"/>
        <v>99.371888</v>
      </c>
    </row>
    <row r="803" hidden="1" spans="1:14">
      <c r="A803" s="202"/>
      <c r="B803" s="203"/>
      <c r="C803" s="203" t="s">
        <v>526</v>
      </c>
      <c r="D803" s="200">
        <f t="shared" si="386"/>
        <v>55.079968</v>
      </c>
      <c r="E803" s="204">
        <f t="shared" si="387"/>
        <v>55.079968</v>
      </c>
      <c r="F803" s="205">
        <v>55.079968</v>
      </c>
      <c r="G803" s="205"/>
      <c r="H803" s="205"/>
      <c r="I803" s="204">
        <f t="shared" si="388"/>
        <v>0</v>
      </c>
      <c r="J803" s="212"/>
      <c r="K803" s="205"/>
      <c r="L803" s="205"/>
      <c r="M803" s="213"/>
      <c r="N803" s="176">
        <f t="shared" si="385"/>
        <v>55.079968</v>
      </c>
    </row>
    <row r="804" hidden="1" spans="1:14">
      <c r="A804" s="202"/>
      <c r="B804" s="203"/>
      <c r="C804" s="203" t="s">
        <v>526</v>
      </c>
      <c r="D804" s="200">
        <f t="shared" si="386"/>
        <v>75.396432</v>
      </c>
      <c r="E804" s="204">
        <f t="shared" si="387"/>
        <v>75.396432</v>
      </c>
      <c r="F804" s="205">
        <v>75.396432</v>
      </c>
      <c r="G804" s="205"/>
      <c r="H804" s="205"/>
      <c r="I804" s="204">
        <f t="shared" si="388"/>
        <v>0</v>
      </c>
      <c r="J804" s="212"/>
      <c r="K804" s="205"/>
      <c r="L804" s="205"/>
      <c r="M804" s="213"/>
      <c r="N804" s="176">
        <f t="shared" si="385"/>
        <v>75.396432</v>
      </c>
    </row>
    <row r="805" hidden="1" spans="1:14">
      <c r="A805" s="202"/>
      <c r="B805" s="203"/>
      <c r="C805" s="203" t="s">
        <v>526</v>
      </c>
      <c r="D805" s="200">
        <f t="shared" si="386"/>
        <v>128.190608</v>
      </c>
      <c r="E805" s="204">
        <f t="shared" si="387"/>
        <v>128.190608</v>
      </c>
      <c r="F805" s="205">
        <v>128.190608</v>
      </c>
      <c r="G805" s="205"/>
      <c r="H805" s="205"/>
      <c r="I805" s="204">
        <f t="shared" si="388"/>
        <v>0</v>
      </c>
      <c r="J805" s="212"/>
      <c r="K805" s="205"/>
      <c r="L805" s="205"/>
      <c r="M805" s="213"/>
      <c r="N805" s="176">
        <f t="shared" si="385"/>
        <v>128.190608</v>
      </c>
    </row>
    <row r="806" hidden="1" spans="1:14">
      <c r="A806" s="202"/>
      <c r="B806" s="203"/>
      <c r="C806" s="203" t="s">
        <v>526</v>
      </c>
      <c r="D806" s="200">
        <f t="shared" si="386"/>
        <v>122.030848</v>
      </c>
      <c r="E806" s="204">
        <f t="shared" si="387"/>
        <v>122.030848</v>
      </c>
      <c r="F806" s="205">
        <v>122.030848</v>
      </c>
      <c r="G806" s="205"/>
      <c r="H806" s="205"/>
      <c r="I806" s="204">
        <f t="shared" si="388"/>
        <v>0</v>
      </c>
      <c r="J806" s="212"/>
      <c r="K806" s="205"/>
      <c r="L806" s="205"/>
      <c r="M806" s="213"/>
      <c r="N806" s="176">
        <f t="shared" si="385"/>
        <v>122.030848</v>
      </c>
    </row>
    <row r="807" hidden="1" spans="1:14">
      <c r="A807" s="202"/>
      <c r="B807" s="203"/>
      <c r="C807" s="203" t="s">
        <v>526</v>
      </c>
      <c r="D807" s="200">
        <f t="shared" si="386"/>
        <v>102.119696</v>
      </c>
      <c r="E807" s="204">
        <f t="shared" si="387"/>
        <v>102.119696</v>
      </c>
      <c r="F807" s="205">
        <v>102.119696</v>
      </c>
      <c r="G807" s="205"/>
      <c r="H807" s="205"/>
      <c r="I807" s="204">
        <f t="shared" si="388"/>
        <v>0</v>
      </c>
      <c r="J807" s="212"/>
      <c r="K807" s="205"/>
      <c r="L807" s="205"/>
      <c r="M807" s="213"/>
      <c r="N807" s="176">
        <f t="shared" si="385"/>
        <v>102.119696</v>
      </c>
    </row>
    <row r="808" hidden="1" spans="1:14">
      <c r="A808" s="202"/>
      <c r="B808" s="203"/>
      <c r="C808" s="203" t="s">
        <v>526</v>
      </c>
      <c r="D808" s="200">
        <f t="shared" si="386"/>
        <v>410.499792</v>
      </c>
      <c r="E808" s="204">
        <f t="shared" si="387"/>
        <v>410.499792</v>
      </c>
      <c r="F808" s="205">
        <v>410.499792</v>
      </c>
      <c r="G808" s="205"/>
      <c r="H808" s="205"/>
      <c r="I808" s="204">
        <f t="shared" si="388"/>
        <v>0</v>
      </c>
      <c r="J808" s="212"/>
      <c r="K808" s="205"/>
      <c r="L808" s="205"/>
      <c r="M808" s="213"/>
      <c r="N808" s="176">
        <f t="shared" si="385"/>
        <v>410.499792</v>
      </c>
    </row>
    <row r="809" hidden="1" spans="1:14">
      <c r="A809" s="202"/>
      <c r="B809" s="203"/>
      <c r="C809" s="203" t="s">
        <v>526</v>
      </c>
      <c r="D809" s="200">
        <f t="shared" si="386"/>
        <v>185.375987</v>
      </c>
      <c r="E809" s="204">
        <f t="shared" si="387"/>
        <v>185.375987</v>
      </c>
      <c r="F809" s="205">
        <v>185.375987</v>
      </c>
      <c r="G809" s="205"/>
      <c r="H809" s="205"/>
      <c r="I809" s="204">
        <f t="shared" si="388"/>
        <v>0</v>
      </c>
      <c r="J809" s="212"/>
      <c r="K809" s="205"/>
      <c r="L809" s="205"/>
      <c r="M809" s="213"/>
      <c r="N809" s="176">
        <f t="shared" si="385"/>
        <v>185.375987</v>
      </c>
    </row>
    <row r="810" hidden="1" spans="1:14">
      <c r="A810" s="202"/>
      <c r="B810" s="203"/>
      <c r="C810" s="203" t="s">
        <v>526</v>
      </c>
      <c r="D810" s="200">
        <f t="shared" si="386"/>
        <v>77.12719</v>
      </c>
      <c r="E810" s="204">
        <f t="shared" si="387"/>
        <v>77.12719</v>
      </c>
      <c r="F810" s="205">
        <v>77.12719</v>
      </c>
      <c r="G810" s="205"/>
      <c r="H810" s="205"/>
      <c r="I810" s="204">
        <f t="shared" si="388"/>
        <v>0</v>
      </c>
      <c r="J810" s="212"/>
      <c r="K810" s="205"/>
      <c r="L810" s="205"/>
      <c r="M810" s="213"/>
      <c r="N810" s="176">
        <f t="shared" si="385"/>
        <v>77.12719</v>
      </c>
    </row>
    <row r="811" hidden="1" spans="1:14">
      <c r="A811" s="202"/>
      <c r="B811" s="203"/>
      <c r="C811" s="203" t="s">
        <v>526</v>
      </c>
      <c r="D811" s="200">
        <f t="shared" si="386"/>
        <v>43.56184</v>
      </c>
      <c r="E811" s="204">
        <f t="shared" si="387"/>
        <v>43.56184</v>
      </c>
      <c r="F811" s="205">
        <v>43.56184</v>
      </c>
      <c r="G811" s="205"/>
      <c r="H811" s="205"/>
      <c r="I811" s="204">
        <f t="shared" si="388"/>
        <v>0</v>
      </c>
      <c r="J811" s="212"/>
      <c r="K811" s="205"/>
      <c r="L811" s="205"/>
      <c r="M811" s="213"/>
      <c r="N811" s="176">
        <f t="shared" si="385"/>
        <v>43.56184</v>
      </c>
    </row>
    <row r="812" hidden="1" spans="1:14">
      <c r="A812" s="202"/>
      <c r="B812" s="203"/>
      <c r="C812" s="203" t="s">
        <v>527</v>
      </c>
      <c r="D812" s="200">
        <f t="shared" si="386"/>
        <v>30.949472</v>
      </c>
      <c r="E812" s="204">
        <f t="shared" si="387"/>
        <v>30.949472</v>
      </c>
      <c r="F812" s="205">
        <v>30.949472</v>
      </c>
      <c r="G812" s="205"/>
      <c r="H812" s="205"/>
      <c r="I812" s="204">
        <f t="shared" si="388"/>
        <v>0</v>
      </c>
      <c r="J812" s="212"/>
      <c r="K812" s="205"/>
      <c r="L812" s="205"/>
      <c r="M812" s="213"/>
      <c r="N812" s="176">
        <f t="shared" si="385"/>
        <v>30.949472</v>
      </c>
    </row>
    <row r="813" hidden="1" spans="1:14">
      <c r="A813" s="202"/>
      <c r="B813" s="203"/>
      <c r="C813" s="203" t="s">
        <v>527</v>
      </c>
      <c r="D813" s="200">
        <f t="shared" si="386"/>
        <v>10.825088</v>
      </c>
      <c r="E813" s="204">
        <f t="shared" si="387"/>
        <v>10.825088</v>
      </c>
      <c r="F813" s="205">
        <v>10.825088</v>
      </c>
      <c r="G813" s="205"/>
      <c r="H813" s="205"/>
      <c r="I813" s="204">
        <f t="shared" si="388"/>
        <v>0</v>
      </c>
      <c r="J813" s="212"/>
      <c r="K813" s="205"/>
      <c r="L813" s="205"/>
      <c r="M813" s="213"/>
      <c r="N813" s="176">
        <f t="shared" si="385"/>
        <v>10.825088</v>
      </c>
    </row>
    <row r="814" hidden="1" spans="1:14">
      <c r="A814" s="202"/>
      <c r="B814" s="203"/>
      <c r="C814" s="203" t="s">
        <v>527</v>
      </c>
      <c r="D814" s="200">
        <f t="shared" si="386"/>
        <v>28.040576</v>
      </c>
      <c r="E814" s="204">
        <f t="shared" si="387"/>
        <v>28.040576</v>
      </c>
      <c r="F814" s="205">
        <v>28.040576</v>
      </c>
      <c r="G814" s="205"/>
      <c r="H814" s="205"/>
      <c r="I814" s="204">
        <f t="shared" si="388"/>
        <v>0</v>
      </c>
      <c r="J814" s="212"/>
      <c r="K814" s="205"/>
      <c r="L814" s="205"/>
      <c r="M814" s="213"/>
      <c r="N814" s="176">
        <f t="shared" si="385"/>
        <v>28.040576</v>
      </c>
    </row>
    <row r="815" hidden="1" spans="1:14">
      <c r="A815" s="202"/>
      <c r="B815" s="203"/>
      <c r="C815" s="203" t="s">
        <v>527</v>
      </c>
      <c r="D815" s="200">
        <f t="shared" si="386"/>
        <v>10.914176</v>
      </c>
      <c r="E815" s="204">
        <f t="shared" si="387"/>
        <v>10.914176</v>
      </c>
      <c r="F815" s="205">
        <v>10.914176</v>
      </c>
      <c r="G815" s="205"/>
      <c r="H815" s="205"/>
      <c r="I815" s="204">
        <f t="shared" si="388"/>
        <v>0</v>
      </c>
      <c r="J815" s="212"/>
      <c r="K815" s="205"/>
      <c r="L815" s="205"/>
      <c r="M815" s="213"/>
      <c r="N815" s="176">
        <f t="shared" si="385"/>
        <v>10.914176</v>
      </c>
    </row>
    <row r="816" hidden="1" spans="1:14">
      <c r="A816" s="202"/>
      <c r="B816" s="203"/>
      <c r="C816" s="203" t="s">
        <v>527</v>
      </c>
      <c r="D816" s="200">
        <f t="shared" si="386"/>
        <v>12.422656</v>
      </c>
      <c r="E816" s="204">
        <f t="shared" si="387"/>
        <v>12.422656</v>
      </c>
      <c r="F816" s="205">
        <v>12.422656</v>
      </c>
      <c r="G816" s="205"/>
      <c r="H816" s="205"/>
      <c r="I816" s="204">
        <f t="shared" si="388"/>
        <v>0</v>
      </c>
      <c r="J816" s="212"/>
      <c r="K816" s="205"/>
      <c r="L816" s="205"/>
      <c r="M816" s="213"/>
      <c r="N816" s="176">
        <f t="shared" si="385"/>
        <v>12.422656</v>
      </c>
    </row>
    <row r="817" hidden="1" spans="1:14">
      <c r="A817" s="202"/>
      <c r="B817" s="203"/>
      <c r="C817" s="203" t="s">
        <v>528</v>
      </c>
      <c r="D817" s="200">
        <f t="shared" si="386"/>
        <v>12.381984</v>
      </c>
      <c r="E817" s="204">
        <f t="shared" si="387"/>
        <v>12.381984</v>
      </c>
      <c r="F817" s="205">
        <v>12.381984</v>
      </c>
      <c r="G817" s="205"/>
      <c r="H817" s="205"/>
      <c r="I817" s="204">
        <f t="shared" si="388"/>
        <v>0</v>
      </c>
      <c r="J817" s="212"/>
      <c r="K817" s="205"/>
      <c r="L817" s="205"/>
      <c r="M817" s="213"/>
      <c r="N817" s="176">
        <f t="shared" si="385"/>
        <v>12.381984</v>
      </c>
    </row>
    <row r="818" hidden="1" spans="1:14">
      <c r="A818" s="202"/>
      <c r="B818" s="203"/>
      <c r="C818" s="203" t="s">
        <v>529</v>
      </c>
      <c r="D818" s="200">
        <f t="shared" si="386"/>
        <v>35.642381</v>
      </c>
      <c r="E818" s="204">
        <f t="shared" si="387"/>
        <v>35.642381</v>
      </c>
      <c r="F818" s="205">
        <v>35.642381</v>
      </c>
      <c r="G818" s="205"/>
      <c r="H818" s="205"/>
      <c r="I818" s="204">
        <f t="shared" si="388"/>
        <v>0</v>
      </c>
      <c r="J818" s="212"/>
      <c r="K818" s="205"/>
      <c r="L818" s="205"/>
      <c r="M818" s="213"/>
      <c r="N818" s="176">
        <f t="shared" si="385"/>
        <v>35.642381</v>
      </c>
    </row>
    <row r="819" hidden="1" spans="1:14">
      <c r="A819" s="202"/>
      <c r="B819" s="203"/>
      <c r="C819" s="203" t="s">
        <v>530</v>
      </c>
      <c r="D819" s="200">
        <f t="shared" si="386"/>
        <v>21.954525</v>
      </c>
      <c r="E819" s="204">
        <f t="shared" si="387"/>
        <v>21.954525</v>
      </c>
      <c r="F819" s="205">
        <v>21.954525</v>
      </c>
      <c r="G819" s="205"/>
      <c r="H819" s="205"/>
      <c r="I819" s="204">
        <f t="shared" si="388"/>
        <v>0</v>
      </c>
      <c r="J819" s="212"/>
      <c r="K819" s="205"/>
      <c r="L819" s="205"/>
      <c r="M819" s="213"/>
      <c r="N819" s="176">
        <f t="shared" si="385"/>
        <v>21.954525</v>
      </c>
    </row>
    <row r="820" hidden="1" spans="1:14">
      <c r="A820" s="202"/>
      <c r="B820" s="203"/>
      <c r="C820" s="203" t="s">
        <v>490</v>
      </c>
      <c r="D820" s="200">
        <f t="shared" si="386"/>
        <v>10.093568</v>
      </c>
      <c r="E820" s="204">
        <f t="shared" si="387"/>
        <v>10.093568</v>
      </c>
      <c r="F820" s="205">
        <v>10.093568</v>
      </c>
      <c r="G820" s="205"/>
      <c r="H820" s="205"/>
      <c r="I820" s="204">
        <f t="shared" si="388"/>
        <v>0</v>
      </c>
      <c r="J820" s="212"/>
      <c r="K820" s="205"/>
      <c r="L820" s="205"/>
      <c r="M820" s="213"/>
      <c r="N820" s="176">
        <f t="shared" si="385"/>
        <v>10.093568</v>
      </c>
    </row>
    <row r="821" ht="24" hidden="1" spans="1:14">
      <c r="A821" s="202"/>
      <c r="B821" s="203"/>
      <c r="C821" s="203" t="s">
        <v>474</v>
      </c>
      <c r="D821" s="200">
        <f t="shared" si="386"/>
        <v>6.734992</v>
      </c>
      <c r="E821" s="204">
        <f t="shared" si="387"/>
        <v>6.734992</v>
      </c>
      <c r="F821" s="205">
        <v>6.734992</v>
      </c>
      <c r="G821" s="205"/>
      <c r="H821" s="205"/>
      <c r="I821" s="204">
        <f t="shared" si="388"/>
        <v>0</v>
      </c>
      <c r="J821" s="212"/>
      <c r="K821" s="205"/>
      <c r="L821" s="205"/>
      <c r="M821" s="213"/>
      <c r="N821" s="176">
        <f t="shared" si="385"/>
        <v>6.734992</v>
      </c>
    </row>
    <row r="822" hidden="1" spans="1:14">
      <c r="A822" s="202"/>
      <c r="B822" s="203"/>
      <c r="C822" s="203" t="s">
        <v>531</v>
      </c>
      <c r="D822" s="200">
        <f t="shared" si="386"/>
        <v>6.267488</v>
      </c>
      <c r="E822" s="204">
        <f t="shared" si="387"/>
        <v>6.267488</v>
      </c>
      <c r="F822" s="205">
        <v>6.267488</v>
      </c>
      <c r="G822" s="205"/>
      <c r="H822" s="205"/>
      <c r="I822" s="204">
        <f t="shared" si="388"/>
        <v>0</v>
      </c>
      <c r="J822" s="212"/>
      <c r="K822" s="205"/>
      <c r="L822" s="205"/>
      <c r="M822" s="213"/>
      <c r="N822" s="176">
        <f t="shared" si="385"/>
        <v>6.267488</v>
      </c>
    </row>
    <row r="823" hidden="1" spans="1:14">
      <c r="A823" s="202"/>
      <c r="B823" s="203"/>
      <c r="C823" s="203" t="s">
        <v>532</v>
      </c>
      <c r="D823" s="200">
        <f t="shared" si="386"/>
        <v>3.807424</v>
      </c>
      <c r="E823" s="204">
        <f t="shared" si="387"/>
        <v>3.807424</v>
      </c>
      <c r="F823" s="205">
        <v>3.807424</v>
      </c>
      <c r="G823" s="205"/>
      <c r="H823" s="205"/>
      <c r="I823" s="204">
        <f t="shared" si="388"/>
        <v>0</v>
      </c>
      <c r="J823" s="212"/>
      <c r="K823" s="205"/>
      <c r="L823" s="205"/>
      <c r="M823" s="213"/>
      <c r="N823" s="176">
        <f t="shared" si="385"/>
        <v>3.807424</v>
      </c>
    </row>
    <row r="824" hidden="1" spans="1:14">
      <c r="A824" s="202"/>
      <c r="B824" s="203"/>
      <c r="C824" s="203" t="s">
        <v>533</v>
      </c>
      <c r="D824" s="200">
        <f t="shared" si="386"/>
        <v>8.898256</v>
      </c>
      <c r="E824" s="204">
        <f t="shared" si="387"/>
        <v>8.898256</v>
      </c>
      <c r="F824" s="205">
        <v>8.898256</v>
      </c>
      <c r="G824" s="205"/>
      <c r="H824" s="205"/>
      <c r="I824" s="204">
        <f t="shared" si="388"/>
        <v>0</v>
      </c>
      <c r="J824" s="212"/>
      <c r="K824" s="205"/>
      <c r="L824" s="205"/>
      <c r="M824" s="213"/>
      <c r="N824" s="176">
        <f t="shared" si="385"/>
        <v>8.898256</v>
      </c>
    </row>
    <row r="825" hidden="1" spans="1:14">
      <c r="A825" s="202"/>
      <c r="B825" s="203"/>
      <c r="C825" s="203" t="s">
        <v>534</v>
      </c>
      <c r="D825" s="200">
        <f t="shared" si="386"/>
        <v>33.449264</v>
      </c>
      <c r="E825" s="204">
        <f t="shared" si="387"/>
        <v>33.449264</v>
      </c>
      <c r="F825" s="205">
        <v>33.449264</v>
      </c>
      <c r="G825" s="205"/>
      <c r="H825" s="205"/>
      <c r="I825" s="204">
        <f t="shared" si="388"/>
        <v>0</v>
      </c>
      <c r="J825" s="212"/>
      <c r="K825" s="205"/>
      <c r="L825" s="205"/>
      <c r="M825" s="213"/>
      <c r="N825" s="176">
        <f t="shared" si="385"/>
        <v>33.449264</v>
      </c>
    </row>
    <row r="826" hidden="1" spans="1:14">
      <c r="A826" s="202"/>
      <c r="B826" s="203"/>
      <c r="C826" s="203" t="s">
        <v>380</v>
      </c>
      <c r="D826" s="200">
        <f t="shared" si="386"/>
        <v>72.151015</v>
      </c>
      <c r="E826" s="204">
        <f t="shared" si="387"/>
        <v>72.151015</v>
      </c>
      <c r="F826" s="205">
        <v>72.151015</v>
      </c>
      <c r="G826" s="205"/>
      <c r="H826" s="205"/>
      <c r="I826" s="204">
        <f t="shared" si="388"/>
        <v>0</v>
      </c>
      <c r="J826" s="212"/>
      <c r="K826" s="205"/>
      <c r="L826" s="205"/>
      <c r="M826" s="213"/>
      <c r="N826" s="176">
        <f t="shared" si="385"/>
        <v>72.151015</v>
      </c>
    </row>
    <row r="827" hidden="1" spans="1:14">
      <c r="A827" s="202"/>
      <c r="B827" s="203"/>
      <c r="C827" s="203" t="s">
        <v>535</v>
      </c>
      <c r="D827" s="200">
        <f t="shared" si="386"/>
        <v>41.991616</v>
      </c>
      <c r="E827" s="204">
        <f t="shared" si="387"/>
        <v>41.991616</v>
      </c>
      <c r="F827" s="205">
        <v>41.991616</v>
      </c>
      <c r="G827" s="205"/>
      <c r="H827" s="205"/>
      <c r="I827" s="204">
        <f t="shared" si="388"/>
        <v>0</v>
      </c>
      <c r="J827" s="212"/>
      <c r="K827" s="205"/>
      <c r="L827" s="205"/>
      <c r="M827" s="213"/>
      <c r="N827" s="176">
        <f t="shared" si="385"/>
        <v>41.991616</v>
      </c>
    </row>
    <row r="828" hidden="1" spans="1:14">
      <c r="A828" s="202"/>
      <c r="B828" s="203"/>
      <c r="C828" s="203" t="s">
        <v>536</v>
      </c>
      <c r="D828" s="200">
        <f t="shared" si="386"/>
        <v>9.937152</v>
      </c>
      <c r="E828" s="204">
        <f t="shared" si="387"/>
        <v>9.937152</v>
      </c>
      <c r="F828" s="205">
        <v>9.937152</v>
      </c>
      <c r="G828" s="205"/>
      <c r="H828" s="205"/>
      <c r="I828" s="204">
        <f t="shared" si="388"/>
        <v>0</v>
      </c>
      <c r="J828" s="212"/>
      <c r="K828" s="205"/>
      <c r="L828" s="205"/>
      <c r="M828" s="213"/>
      <c r="N828" s="176">
        <f t="shared" ref="N828:N891" si="389">J828+E828</f>
        <v>9.937152</v>
      </c>
    </row>
    <row r="829" hidden="1" spans="1:14">
      <c r="A829" s="202"/>
      <c r="B829" s="203"/>
      <c r="C829" s="203" t="s">
        <v>537</v>
      </c>
      <c r="D829" s="200">
        <f t="shared" si="386"/>
        <v>50.805606</v>
      </c>
      <c r="E829" s="204">
        <f t="shared" si="387"/>
        <v>50.805606</v>
      </c>
      <c r="F829" s="205">
        <v>50.805606</v>
      </c>
      <c r="G829" s="205"/>
      <c r="H829" s="205"/>
      <c r="I829" s="204">
        <f t="shared" si="388"/>
        <v>0</v>
      </c>
      <c r="J829" s="212"/>
      <c r="K829" s="205"/>
      <c r="L829" s="205"/>
      <c r="M829" s="213"/>
      <c r="N829" s="176">
        <f t="shared" si="389"/>
        <v>50.805606</v>
      </c>
    </row>
    <row r="830" ht="24" hidden="1" spans="1:14">
      <c r="A830" s="202"/>
      <c r="B830" s="203"/>
      <c r="C830" s="203" t="s">
        <v>538</v>
      </c>
      <c r="D830" s="200">
        <f t="shared" si="386"/>
        <v>7.150976</v>
      </c>
      <c r="E830" s="204">
        <f t="shared" si="387"/>
        <v>7.150976</v>
      </c>
      <c r="F830" s="205">
        <v>7.150976</v>
      </c>
      <c r="G830" s="205"/>
      <c r="H830" s="205"/>
      <c r="I830" s="204">
        <f t="shared" si="388"/>
        <v>0</v>
      </c>
      <c r="J830" s="212"/>
      <c r="K830" s="205"/>
      <c r="L830" s="205"/>
      <c r="M830" s="213"/>
      <c r="N830" s="176">
        <f t="shared" si="389"/>
        <v>7.150976</v>
      </c>
    </row>
    <row r="831" ht="24" hidden="1" spans="1:14">
      <c r="A831" s="202"/>
      <c r="B831" s="203"/>
      <c r="C831" s="203" t="s">
        <v>538</v>
      </c>
      <c r="D831" s="200">
        <f t="shared" si="386"/>
        <v>4.558272</v>
      </c>
      <c r="E831" s="204">
        <f t="shared" si="387"/>
        <v>4.558272</v>
      </c>
      <c r="F831" s="205">
        <v>4.558272</v>
      </c>
      <c r="G831" s="205"/>
      <c r="H831" s="205"/>
      <c r="I831" s="204">
        <f t="shared" si="388"/>
        <v>0</v>
      </c>
      <c r="J831" s="212"/>
      <c r="K831" s="205"/>
      <c r="L831" s="205"/>
      <c r="M831" s="213"/>
      <c r="N831" s="176">
        <f t="shared" si="389"/>
        <v>4.558272</v>
      </c>
    </row>
    <row r="832" ht="24" hidden="1" spans="1:14">
      <c r="A832" s="202"/>
      <c r="B832" s="203"/>
      <c r="C832" s="203" t="s">
        <v>538</v>
      </c>
      <c r="D832" s="200">
        <f t="shared" si="386"/>
        <v>9.350784</v>
      </c>
      <c r="E832" s="204">
        <f t="shared" si="387"/>
        <v>9.350784</v>
      </c>
      <c r="F832" s="205">
        <v>9.350784</v>
      </c>
      <c r="G832" s="205"/>
      <c r="H832" s="205"/>
      <c r="I832" s="204">
        <f t="shared" si="388"/>
        <v>0</v>
      </c>
      <c r="J832" s="212"/>
      <c r="K832" s="205"/>
      <c r="L832" s="205"/>
      <c r="M832" s="213"/>
      <c r="N832" s="176">
        <f t="shared" si="389"/>
        <v>9.350784</v>
      </c>
    </row>
    <row r="833" ht="24" hidden="1" spans="1:14">
      <c r="A833" s="202"/>
      <c r="B833" s="203"/>
      <c r="C833" s="203" t="s">
        <v>538</v>
      </c>
      <c r="D833" s="200">
        <f t="shared" si="386"/>
        <v>4.955472</v>
      </c>
      <c r="E833" s="204">
        <f t="shared" si="387"/>
        <v>4.955472</v>
      </c>
      <c r="F833" s="205">
        <v>4.955472</v>
      </c>
      <c r="G833" s="205"/>
      <c r="H833" s="205"/>
      <c r="I833" s="204">
        <f t="shared" si="388"/>
        <v>0</v>
      </c>
      <c r="J833" s="212"/>
      <c r="K833" s="205"/>
      <c r="L833" s="205"/>
      <c r="M833" s="213"/>
      <c r="N833" s="176">
        <f t="shared" si="389"/>
        <v>4.955472</v>
      </c>
    </row>
    <row r="834" hidden="1" spans="1:14">
      <c r="A834" s="202"/>
      <c r="B834" s="203"/>
      <c r="C834" s="203" t="s">
        <v>539</v>
      </c>
      <c r="D834" s="200">
        <f t="shared" si="386"/>
        <v>80.94552</v>
      </c>
      <c r="E834" s="204">
        <f t="shared" si="387"/>
        <v>80.94552</v>
      </c>
      <c r="F834" s="205">
        <v>80.94552</v>
      </c>
      <c r="G834" s="205"/>
      <c r="H834" s="205"/>
      <c r="I834" s="204">
        <f t="shared" si="388"/>
        <v>0</v>
      </c>
      <c r="J834" s="212"/>
      <c r="K834" s="205"/>
      <c r="L834" s="205"/>
      <c r="M834" s="213"/>
      <c r="N834" s="176">
        <f t="shared" si="389"/>
        <v>80.94552</v>
      </c>
    </row>
    <row r="835" hidden="1" spans="1:14">
      <c r="A835" s="202"/>
      <c r="B835" s="203"/>
      <c r="C835" s="203" t="s">
        <v>539</v>
      </c>
      <c r="D835" s="200">
        <f t="shared" si="386"/>
        <v>27.70368</v>
      </c>
      <c r="E835" s="204">
        <f t="shared" si="387"/>
        <v>27.70368</v>
      </c>
      <c r="F835" s="205">
        <v>27.70368</v>
      </c>
      <c r="G835" s="205"/>
      <c r="H835" s="205"/>
      <c r="I835" s="204">
        <f t="shared" si="388"/>
        <v>0</v>
      </c>
      <c r="J835" s="212"/>
      <c r="K835" s="205"/>
      <c r="L835" s="205"/>
      <c r="M835" s="213"/>
      <c r="N835" s="176">
        <f t="shared" si="389"/>
        <v>27.70368</v>
      </c>
    </row>
    <row r="836" hidden="1" spans="1:14">
      <c r="A836" s="202"/>
      <c r="B836" s="203"/>
      <c r="C836" s="203" t="s">
        <v>539</v>
      </c>
      <c r="D836" s="200">
        <f t="shared" si="386"/>
        <v>29.50432</v>
      </c>
      <c r="E836" s="204">
        <f t="shared" si="387"/>
        <v>29.50432</v>
      </c>
      <c r="F836" s="205">
        <v>29.50432</v>
      </c>
      <c r="G836" s="205"/>
      <c r="H836" s="205"/>
      <c r="I836" s="204">
        <f t="shared" si="388"/>
        <v>0</v>
      </c>
      <c r="J836" s="212"/>
      <c r="K836" s="205"/>
      <c r="L836" s="205"/>
      <c r="M836" s="213"/>
      <c r="N836" s="176">
        <f t="shared" si="389"/>
        <v>29.50432</v>
      </c>
    </row>
    <row r="837" hidden="1" spans="1:14">
      <c r="A837" s="202"/>
      <c r="B837" s="203"/>
      <c r="C837" s="203" t="s">
        <v>540</v>
      </c>
      <c r="D837" s="200">
        <f t="shared" si="386"/>
        <v>96.473552</v>
      </c>
      <c r="E837" s="204">
        <f t="shared" si="387"/>
        <v>96.473552</v>
      </c>
      <c r="F837" s="205">
        <v>96.473552</v>
      </c>
      <c r="G837" s="205"/>
      <c r="H837" s="205"/>
      <c r="I837" s="204">
        <f t="shared" si="388"/>
        <v>0</v>
      </c>
      <c r="J837" s="212"/>
      <c r="K837" s="205"/>
      <c r="L837" s="205"/>
      <c r="M837" s="213"/>
      <c r="N837" s="176">
        <f t="shared" si="389"/>
        <v>96.473552</v>
      </c>
    </row>
    <row r="838" ht="24" hidden="1" spans="1:14">
      <c r="A838" s="202"/>
      <c r="B838" s="203"/>
      <c r="C838" s="203" t="s">
        <v>541</v>
      </c>
      <c r="D838" s="200">
        <f t="shared" si="386"/>
        <v>40.468736</v>
      </c>
      <c r="E838" s="204">
        <f t="shared" si="387"/>
        <v>40.468736</v>
      </c>
      <c r="F838" s="205">
        <v>40.468736</v>
      </c>
      <c r="G838" s="205"/>
      <c r="H838" s="205"/>
      <c r="I838" s="204">
        <f t="shared" si="388"/>
        <v>0</v>
      </c>
      <c r="J838" s="212"/>
      <c r="K838" s="205"/>
      <c r="L838" s="205"/>
      <c r="M838" s="213"/>
      <c r="N838" s="176">
        <f t="shared" si="389"/>
        <v>40.468736</v>
      </c>
    </row>
    <row r="839" ht="24" hidden="1" spans="1:14">
      <c r="A839" s="202"/>
      <c r="B839" s="203"/>
      <c r="C839" s="203" t="s">
        <v>541</v>
      </c>
      <c r="D839" s="200">
        <f t="shared" si="386"/>
        <v>24.918208</v>
      </c>
      <c r="E839" s="204">
        <f t="shared" si="387"/>
        <v>24.918208</v>
      </c>
      <c r="F839" s="205">
        <v>24.918208</v>
      </c>
      <c r="G839" s="205"/>
      <c r="H839" s="205"/>
      <c r="I839" s="204">
        <f t="shared" si="388"/>
        <v>0</v>
      </c>
      <c r="J839" s="212"/>
      <c r="K839" s="205"/>
      <c r="L839" s="205"/>
      <c r="M839" s="213"/>
      <c r="N839" s="176">
        <f t="shared" si="389"/>
        <v>24.918208</v>
      </c>
    </row>
    <row r="840" hidden="1" spans="1:14">
      <c r="A840" s="202"/>
      <c r="B840" s="203"/>
      <c r="C840" s="203" t="s">
        <v>542</v>
      </c>
      <c r="D840" s="200">
        <f t="shared" si="386"/>
        <v>51.735264</v>
      </c>
      <c r="E840" s="204">
        <f t="shared" si="387"/>
        <v>51.735264</v>
      </c>
      <c r="F840" s="205">
        <v>51.735264</v>
      </c>
      <c r="G840" s="205"/>
      <c r="H840" s="205"/>
      <c r="I840" s="204">
        <f t="shared" si="388"/>
        <v>0</v>
      </c>
      <c r="J840" s="212"/>
      <c r="K840" s="205"/>
      <c r="L840" s="205"/>
      <c r="M840" s="213"/>
      <c r="N840" s="176">
        <f t="shared" si="389"/>
        <v>51.735264</v>
      </c>
    </row>
    <row r="841" hidden="1" spans="1:14">
      <c r="A841" s="202"/>
      <c r="B841" s="203"/>
      <c r="C841" s="203" t="s">
        <v>543</v>
      </c>
      <c r="D841" s="200">
        <f t="shared" si="386"/>
        <v>43.462368</v>
      </c>
      <c r="E841" s="204">
        <f t="shared" si="387"/>
        <v>43.462368</v>
      </c>
      <c r="F841" s="205">
        <v>43.462368</v>
      </c>
      <c r="G841" s="205"/>
      <c r="H841" s="205"/>
      <c r="I841" s="204">
        <f t="shared" si="388"/>
        <v>0</v>
      </c>
      <c r="J841" s="212"/>
      <c r="K841" s="205"/>
      <c r="L841" s="205"/>
      <c r="M841" s="213"/>
      <c r="N841" s="176">
        <f t="shared" si="389"/>
        <v>43.462368</v>
      </c>
    </row>
    <row r="842" hidden="1" spans="1:14">
      <c r="A842" s="202"/>
      <c r="B842" s="203"/>
      <c r="C842" s="203" t="s">
        <v>544</v>
      </c>
      <c r="D842" s="200">
        <f t="shared" si="386"/>
        <v>73.856394</v>
      </c>
      <c r="E842" s="204">
        <f t="shared" si="387"/>
        <v>73.856394</v>
      </c>
      <c r="F842" s="205">
        <v>73.856394</v>
      </c>
      <c r="G842" s="205"/>
      <c r="H842" s="205"/>
      <c r="I842" s="204">
        <f t="shared" si="388"/>
        <v>0</v>
      </c>
      <c r="J842" s="212"/>
      <c r="K842" s="205"/>
      <c r="L842" s="205"/>
      <c r="M842" s="213"/>
      <c r="N842" s="176">
        <f t="shared" si="389"/>
        <v>73.856394</v>
      </c>
    </row>
    <row r="843" hidden="1" spans="1:14">
      <c r="A843" s="202"/>
      <c r="B843" s="203"/>
      <c r="C843" s="203" t="s">
        <v>544</v>
      </c>
      <c r="D843" s="200">
        <f t="shared" si="386"/>
        <v>11.131936</v>
      </c>
      <c r="E843" s="204">
        <f t="shared" si="387"/>
        <v>11.131936</v>
      </c>
      <c r="F843" s="205">
        <v>11.131936</v>
      </c>
      <c r="G843" s="205"/>
      <c r="H843" s="205"/>
      <c r="I843" s="204">
        <f t="shared" si="388"/>
        <v>0</v>
      </c>
      <c r="J843" s="212"/>
      <c r="K843" s="205"/>
      <c r="L843" s="205"/>
      <c r="M843" s="213"/>
      <c r="N843" s="176">
        <f t="shared" si="389"/>
        <v>11.131936</v>
      </c>
    </row>
    <row r="844" hidden="1" spans="1:14">
      <c r="A844" s="202"/>
      <c r="B844" s="203"/>
      <c r="C844" s="203" t="s">
        <v>544</v>
      </c>
      <c r="D844" s="200">
        <f t="shared" si="386"/>
        <v>81.428838</v>
      </c>
      <c r="E844" s="204">
        <f t="shared" si="387"/>
        <v>81.428838</v>
      </c>
      <c r="F844" s="205">
        <v>81.428838</v>
      </c>
      <c r="G844" s="205"/>
      <c r="H844" s="205"/>
      <c r="I844" s="204">
        <f t="shared" si="388"/>
        <v>0</v>
      </c>
      <c r="J844" s="212"/>
      <c r="K844" s="205"/>
      <c r="L844" s="205"/>
      <c r="M844" s="213"/>
      <c r="N844" s="176">
        <f t="shared" si="389"/>
        <v>81.428838</v>
      </c>
    </row>
    <row r="845" hidden="1" spans="1:14">
      <c r="A845" s="202"/>
      <c r="B845" s="203"/>
      <c r="C845" s="203" t="s">
        <v>544</v>
      </c>
      <c r="D845" s="200">
        <f t="shared" si="386"/>
        <v>12.353875</v>
      </c>
      <c r="E845" s="204">
        <f t="shared" si="387"/>
        <v>12.353875</v>
      </c>
      <c r="F845" s="205">
        <v>12.353875</v>
      </c>
      <c r="G845" s="205"/>
      <c r="H845" s="205"/>
      <c r="I845" s="204">
        <f t="shared" si="388"/>
        <v>0</v>
      </c>
      <c r="J845" s="212"/>
      <c r="K845" s="205"/>
      <c r="L845" s="205"/>
      <c r="M845" s="213"/>
      <c r="N845" s="176">
        <f t="shared" si="389"/>
        <v>12.353875</v>
      </c>
    </row>
    <row r="846" hidden="1" spans="1:14">
      <c r="A846" s="202"/>
      <c r="B846" s="203"/>
      <c r="C846" s="203" t="s">
        <v>544</v>
      </c>
      <c r="D846" s="200">
        <f t="shared" si="386"/>
        <v>102.177124</v>
      </c>
      <c r="E846" s="204">
        <f t="shared" si="387"/>
        <v>102.177124</v>
      </c>
      <c r="F846" s="205">
        <v>102.177124</v>
      </c>
      <c r="G846" s="205"/>
      <c r="H846" s="205"/>
      <c r="I846" s="204">
        <f t="shared" si="388"/>
        <v>0</v>
      </c>
      <c r="J846" s="212"/>
      <c r="K846" s="205"/>
      <c r="L846" s="205"/>
      <c r="M846" s="213"/>
      <c r="N846" s="176">
        <f t="shared" si="389"/>
        <v>102.177124</v>
      </c>
    </row>
    <row r="847" hidden="1" spans="1:14">
      <c r="A847" s="202"/>
      <c r="B847" s="203"/>
      <c r="C847" s="203" t="s">
        <v>544</v>
      </c>
      <c r="D847" s="200">
        <f t="shared" si="386"/>
        <v>110.896918</v>
      </c>
      <c r="E847" s="204">
        <f t="shared" si="387"/>
        <v>110.896918</v>
      </c>
      <c r="F847" s="205">
        <v>110.896918</v>
      </c>
      <c r="G847" s="205"/>
      <c r="H847" s="205"/>
      <c r="I847" s="204">
        <f t="shared" si="388"/>
        <v>0</v>
      </c>
      <c r="J847" s="212"/>
      <c r="K847" s="205"/>
      <c r="L847" s="205"/>
      <c r="M847" s="213"/>
      <c r="N847" s="176">
        <f t="shared" si="389"/>
        <v>110.896918</v>
      </c>
    </row>
    <row r="848" hidden="1" spans="1:14">
      <c r="A848" s="202"/>
      <c r="B848" s="203"/>
      <c r="C848" s="203" t="s">
        <v>544</v>
      </c>
      <c r="D848" s="200">
        <f t="shared" si="386"/>
        <v>19.473987</v>
      </c>
      <c r="E848" s="204">
        <f t="shared" si="387"/>
        <v>19.473987</v>
      </c>
      <c r="F848" s="205">
        <v>19.473987</v>
      </c>
      <c r="G848" s="205"/>
      <c r="H848" s="205"/>
      <c r="I848" s="204">
        <f t="shared" si="388"/>
        <v>0</v>
      </c>
      <c r="J848" s="212"/>
      <c r="K848" s="205"/>
      <c r="L848" s="205"/>
      <c r="M848" s="213"/>
      <c r="N848" s="176">
        <f t="shared" si="389"/>
        <v>19.473987</v>
      </c>
    </row>
    <row r="849" hidden="1" spans="1:14">
      <c r="A849" s="202"/>
      <c r="B849" s="203"/>
      <c r="C849" s="203" t="s">
        <v>544</v>
      </c>
      <c r="D849" s="200">
        <f t="shared" si="386"/>
        <v>50.19196</v>
      </c>
      <c r="E849" s="204">
        <f t="shared" si="387"/>
        <v>50.19196</v>
      </c>
      <c r="F849" s="205">
        <v>50.19196</v>
      </c>
      <c r="G849" s="205"/>
      <c r="H849" s="205"/>
      <c r="I849" s="204">
        <f t="shared" si="388"/>
        <v>0</v>
      </c>
      <c r="J849" s="212"/>
      <c r="K849" s="205"/>
      <c r="L849" s="205"/>
      <c r="M849" s="213"/>
      <c r="N849" s="176">
        <f t="shared" si="389"/>
        <v>50.19196</v>
      </c>
    </row>
    <row r="850" hidden="1" spans="1:14">
      <c r="A850" s="202"/>
      <c r="B850" s="203"/>
      <c r="C850" s="203" t="s">
        <v>544</v>
      </c>
      <c r="D850" s="200">
        <f t="shared" si="386"/>
        <v>112.86647</v>
      </c>
      <c r="E850" s="204">
        <f t="shared" si="387"/>
        <v>112.86647</v>
      </c>
      <c r="F850" s="205">
        <v>112.86647</v>
      </c>
      <c r="G850" s="205"/>
      <c r="H850" s="205"/>
      <c r="I850" s="204">
        <f t="shared" si="388"/>
        <v>0</v>
      </c>
      <c r="J850" s="212"/>
      <c r="K850" s="205"/>
      <c r="L850" s="205"/>
      <c r="M850" s="213"/>
      <c r="N850" s="176">
        <f t="shared" si="389"/>
        <v>112.86647</v>
      </c>
    </row>
    <row r="851" hidden="1" spans="1:14">
      <c r="A851" s="202"/>
      <c r="B851" s="203"/>
      <c r="C851" s="203" t="s">
        <v>544</v>
      </c>
      <c r="D851" s="200">
        <f t="shared" si="386"/>
        <v>66.787542</v>
      </c>
      <c r="E851" s="204">
        <f t="shared" si="387"/>
        <v>66.787542</v>
      </c>
      <c r="F851" s="205">
        <v>66.787542</v>
      </c>
      <c r="G851" s="205"/>
      <c r="H851" s="205"/>
      <c r="I851" s="204">
        <f t="shared" si="388"/>
        <v>0</v>
      </c>
      <c r="J851" s="212"/>
      <c r="K851" s="205"/>
      <c r="L851" s="205"/>
      <c r="M851" s="213"/>
      <c r="N851" s="176">
        <f t="shared" si="389"/>
        <v>66.787542</v>
      </c>
    </row>
    <row r="852" hidden="1" spans="1:14">
      <c r="A852" s="202"/>
      <c r="B852" s="203"/>
      <c r="C852" s="203" t="s">
        <v>544</v>
      </c>
      <c r="D852" s="200">
        <f t="shared" si="386"/>
        <v>26.184829</v>
      </c>
      <c r="E852" s="204">
        <f t="shared" si="387"/>
        <v>26.184829</v>
      </c>
      <c r="F852" s="205">
        <v>26.184829</v>
      </c>
      <c r="G852" s="205"/>
      <c r="H852" s="205"/>
      <c r="I852" s="204">
        <f t="shared" si="388"/>
        <v>0</v>
      </c>
      <c r="J852" s="212"/>
      <c r="K852" s="205"/>
      <c r="L852" s="205"/>
      <c r="M852" s="213"/>
      <c r="N852" s="176">
        <f t="shared" si="389"/>
        <v>26.184829</v>
      </c>
    </row>
    <row r="853" hidden="1" spans="1:14">
      <c r="A853" s="202"/>
      <c r="B853" s="203"/>
      <c r="C853" s="203" t="s">
        <v>544</v>
      </c>
      <c r="D853" s="200">
        <f t="shared" si="386"/>
        <v>24.609709</v>
      </c>
      <c r="E853" s="204">
        <f t="shared" si="387"/>
        <v>24.609709</v>
      </c>
      <c r="F853" s="205">
        <v>24.609709</v>
      </c>
      <c r="G853" s="205"/>
      <c r="H853" s="205"/>
      <c r="I853" s="204">
        <f t="shared" si="388"/>
        <v>0</v>
      </c>
      <c r="J853" s="212"/>
      <c r="K853" s="205"/>
      <c r="L853" s="205"/>
      <c r="M853" s="213"/>
      <c r="N853" s="176">
        <f t="shared" si="389"/>
        <v>24.609709</v>
      </c>
    </row>
    <row r="854" hidden="1" spans="1:14">
      <c r="A854" s="202"/>
      <c r="B854" s="203"/>
      <c r="C854" s="203" t="s">
        <v>544</v>
      </c>
      <c r="D854" s="200">
        <f t="shared" ref="D854:D917" si="390">E854+I854</f>
        <v>19.505763</v>
      </c>
      <c r="E854" s="204">
        <f t="shared" ref="E854:E917" si="391">SUM(F854:H854)</f>
        <v>19.505763</v>
      </c>
      <c r="F854" s="205">
        <v>19.505763</v>
      </c>
      <c r="G854" s="205"/>
      <c r="H854" s="205"/>
      <c r="I854" s="204">
        <f t="shared" ref="I854:I917" si="392">SUM(J854:L854)</f>
        <v>0</v>
      </c>
      <c r="J854" s="212"/>
      <c r="K854" s="205"/>
      <c r="L854" s="205"/>
      <c r="M854" s="213"/>
      <c r="N854" s="176">
        <f t="shared" si="389"/>
        <v>19.505763</v>
      </c>
    </row>
    <row r="855" hidden="1" spans="1:14">
      <c r="A855" s="202"/>
      <c r="B855" s="203"/>
      <c r="C855" s="203" t="s">
        <v>544</v>
      </c>
      <c r="D855" s="200">
        <f t="shared" si="390"/>
        <v>49.210515</v>
      </c>
      <c r="E855" s="204">
        <f t="shared" si="391"/>
        <v>49.210515</v>
      </c>
      <c r="F855" s="205">
        <v>49.210515</v>
      </c>
      <c r="G855" s="205"/>
      <c r="H855" s="205"/>
      <c r="I855" s="204">
        <f t="shared" si="392"/>
        <v>0</v>
      </c>
      <c r="J855" s="212"/>
      <c r="K855" s="205"/>
      <c r="L855" s="205"/>
      <c r="M855" s="213"/>
      <c r="N855" s="176">
        <f t="shared" si="389"/>
        <v>49.210515</v>
      </c>
    </row>
    <row r="856" hidden="1" spans="1:14">
      <c r="A856" s="202"/>
      <c r="B856" s="203"/>
      <c r="C856" s="203" t="s">
        <v>544</v>
      </c>
      <c r="D856" s="200">
        <f t="shared" si="390"/>
        <v>45.226045</v>
      </c>
      <c r="E856" s="204">
        <f t="shared" si="391"/>
        <v>45.226045</v>
      </c>
      <c r="F856" s="205">
        <v>45.226045</v>
      </c>
      <c r="G856" s="205"/>
      <c r="H856" s="205"/>
      <c r="I856" s="204">
        <f t="shared" si="392"/>
        <v>0</v>
      </c>
      <c r="J856" s="212"/>
      <c r="K856" s="205"/>
      <c r="L856" s="205"/>
      <c r="M856" s="213"/>
      <c r="N856" s="176">
        <f t="shared" si="389"/>
        <v>45.226045</v>
      </c>
    </row>
    <row r="857" hidden="1" spans="1:14">
      <c r="A857" s="202"/>
      <c r="B857" s="203"/>
      <c r="C857" s="203" t="s">
        <v>544</v>
      </c>
      <c r="D857" s="200">
        <f t="shared" si="390"/>
        <v>24.062838</v>
      </c>
      <c r="E857" s="204">
        <f t="shared" si="391"/>
        <v>24.062838</v>
      </c>
      <c r="F857" s="205">
        <v>24.062838</v>
      </c>
      <c r="G857" s="205"/>
      <c r="H857" s="205"/>
      <c r="I857" s="204">
        <f t="shared" si="392"/>
        <v>0</v>
      </c>
      <c r="J857" s="212"/>
      <c r="K857" s="205"/>
      <c r="L857" s="205"/>
      <c r="M857" s="213"/>
      <c r="N857" s="176">
        <f t="shared" si="389"/>
        <v>24.062838</v>
      </c>
    </row>
    <row r="858" hidden="1" spans="1:14">
      <c r="A858" s="202"/>
      <c r="B858" s="203"/>
      <c r="C858" s="203" t="s">
        <v>544</v>
      </c>
      <c r="D858" s="200">
        <f t="shared" si="390"/>
        <v>44.274342</v>
      </c>
      <c r="E858" s="204">
        <f t="shared" si="391"/>
        <v>44.274342</v>
      </c>
      <c r="F858" s="205">
        <v>44.274342</v>
      </c>
      <c r="G858" s="205"/>
      <c r="H858" s="205"/>
      <c r="I858" s="204">
        <f t="shared" si="392"/>
        <v>0</v>
      </c>
      <c r="J858" s="212"/>
      <c r="K858" s="205"/>
      <c r="L858" s="205"/>
      <c r="M858" s="213"/>
      <c r="N858" s="176">
        <f t="shared" si="389"/>
        <v>44.274342</v>
      </c>
    </row>
    <row r="859" hidden="1" spans="1:14">
      <c r="A859" s="202"/>
      <c r="B859" s="203"/>
      <c r="C859" s="203" t="s">
        <v>545</v>
      </c>
      <c r="D859" s="200">
        <f t="shared" si="390"/>
        <v>28.718291</v>
      </c>
      <c r="E859" s="204">
        <f t="shared" si="391"/>
        <v>28.718291</v>
      </c>
      <c r="F859" s="205">
        <v>28.718291</v>
      </c>
      <c r="G859" s="205"/>
      <c r="H859" s="205"/>
      <c r="I859" s="204">
        <f t="shared" si="392"/>
        <v>0</v>
      </c>
      <c r="J859" s="212"/>
      <c r="K859" s="205"/>
      <c r="L859" s="205"/>
      <c r="M859" s="213"/>
      <c r="N859" s="176">
        <f t="shared" si="389"/>
        <v>28.718291</v>
      </c>
    </row>
    <row r="860" hidden="1" spans="1:14">
      <c r="A860" s="202"/>
      <c r="B860" s="203"/>
      <c r="C860" s="203" t="s">
        <v>545</v>
      </c>
      <c r="D860" s="200">
        <f t="shared" si="390"/>
        <v>36.767952</v>
      </c>
      <c r="E860" s="204">
        <f t="shared" si="391"/>
        <v>36.767952</v>
      </c>
      <c r="F860" s="205">
        <v>36.767952</v>
      </c>
      <c r="G860" s="205"/>
      <c r="H860" s="205"/>
      <c r="I860" s="204">
        <f t="shared" si="392"/>
        <v>0</v>
      </c>
      <c r="J860" s="212"/>
      <c r="K860" s="205"/>
      <c r="L860" s="205"/>
      <c r="M860" s="213"/>
      <c r="N860" s="176">
        <f t="shared" si="389"/>
        <v>36.767952</v>
      </c>
    </row>
    <row r="861" hidden="1" spans="1:14">
      <c r="A861" s="202"/>
      <c r="B861" s="203"/>
      <c r="C861" s="203" t="s">
        <v>545</v>
      </c>
      <c r="D861" s="200">
        <f t="shared" si="390"/>
        <v>12.824496</v>
      </c>
      <c r="E861" s="204">
        <f t="shared" si="391"/>
        <v>12.824496</v>
      </c>
      <c r="F861" s="205">
        <v>12.824496</v>
      </c>
      <c r="G861" s="205"/>
      <c r="H861" s="205"/>
      <c r="I861" s="204">
        <f t="shared" si="392"/>
        <v>0</v>
      </c>
      <c r="J861" s="212"/>
      <c r="K861" s="205"/>
      <c r="L861" s="205"/>
      <c r="M861" s="213"/>
      <c r="N861" s="176">
        <f t="shared" si="389"/>
        <v>12.824496</v>
      </c>
    </row>
    <row r="862" hidden="1" spans="1:14">
      <c r="A862" s="202"/>
      <c r="B862" s="203"/>
      <c r="C862" s="203" t="s">
        <v>546</v>
      </c>
      <c r="D862" s="200">
        <f t="shared" si="390"/>
        <v>15.846426</v>
      </c>
      <c r="E862" s="204">
        <f t="shared" si="391"/>
        <v>15.846426</v>
      </c>
      <c r="F862" s="205">
        <v>15.846426</v>
      </c>
      <c r="G862" s="205"/>
      <c r="H862" s="205"/>
      <c r="I862" s="204">
        <f t="shared" si="392"/>
        <v>0</v>
      </c>
      <c r="J862" s="212"/>
      <c r="K862" s="205"/>
      <c r="L862" s="205"/>
      <c r="M862" s="213"/>
      <c r="N862" s="176">
        <f t="shared" si="389"/>
        <v>15.846426</v>
      </c>
    </row>
    <row r="863" hidden="1" spans="1:14">
      <c r="A863" s="202"/>
      <c r="B863" s="203"/>
      <c r="C863" s="203" t="s">
        <v>547</v>
      </c>
      <c r="D863" s="200">
        <f t="shared" si="390"/>
        <v>15.147744</v>
      </c>
      <c r="E863" s="204">
        <f t="shared" si="391"/>
        <v>15.147744</v>
      </c>
      <c r="F863" s="205">
        <v>15.147744</v>
      </c>
      <c r="G863" s="205"/>
      <c r="H863" s="205"/>
      <c r="I863" s="204">
        <f t="shared" si="392"/>
        <v>0</v>
      </c>
      <c r="J863" s="212"/>
      <c r="K863" s="205"/>
      <c r="L863" s="205"/>
      <c r="M863" s="213"/>
      <c r="N863" s="176">
        <f t="shared" si="389"/>
        <v>15.147744</v>
      </c>
    </row>
    <row r="864" hidden="1" spans="1:14">
      <c r="A864" s="202"/>
      <c r="B864" s="203"/>
      <c r="C864" s="203" t="s">
        <v>548</v>
      </c>
      <c r="D864" s="200">
        <f t="shared" si="390"/>
        <v>62.576896</v>
      </c>
      <c r="E864" s="204">
        <f t="shared" si="391"/>
        <v>62.576896</v>
      </c>
      <c r="F864" s="205">
        <v>62.576896</v>
      </c>
      <c r="G864" s="205"/>
      <c r="H864" s="205"/>
      <c r="I864" s="204">
        <f t="shared" si="392"/>
        <v>0</v>
      </c>
      <c r="J864" s="212"/>
      <c r="K864" s="205"/>
      <c r="L864" s="205"/>
      <c r="M864" s="213"/>
      <c r="N864" s="176">
        <f t="shared" si="389"/>
        <v>62.576896</v>
      </c>
    </row>
    <row r="865" hidden="1" spans="1:14">
      <c r="A865" s="202"/>
      <c r="B865" s="203"/>
      <c r="C865" s="203" t="s">
        <v>549</v>
      </c>
      <c r="D865" s="200">
        <f t="shared" si="390"/>
        <v>94.86696</v>
      </c>
      <c r="E865" s="204">
        <f t="shared" si="391"/>
        <v>94.86696</v>
      </c>
      <c r="F865" s="205">
        <v>94.86696</v>
      </c>
      <c r="G865" s="205"/>
      <c r="H865" s="205"/>
      <c r="I865" s="204">
        <f t="shared" si="392"/>
        <v>0</v>
      </c>
      <c r="J865" s="212"/>
      <c r="K865" s="205"/>
      <c r="L865" s="205"/>
      <c r="M865" s="213"/>
      <c r="N865" s="176">
        <f t="shared" si="389"/>
        <v>94.86696</v>
      </c>
    </row>
    <row r="866" hidden="1" spans="1:14">
      <c r="A866" s="202"/>
      <c r="B866" s="203"/>
      <c r="C866" s="203" t="s">
        <v>549</v>
      </c>
      <c r="D866" s="200">
        <f t="shared" si="390"/>
        <v>9.817472</v>
      </c>
      <c r="E866" s="204">
        <f t="shared" si="391"/>
        <v>9.817472</v>
      </c>
      <c r="F866" s="205">
        <v>9.817472</v>
      </c>
      <c r="G866" s="205"/>
      <c r="H866" s="205"/>
      <c r="I866" s="204">
        <f t="shared" si="392"/>
        <v>0</v>
      </c>
      <c r="J866" s="212"/>
      <c r="K866" s="205"/>
      <c r="L866" s="205"/>
      <c r="M866" s="213"/>
      <c r="N866" s="176">
        <f t="shared" si="389"/>
        <v>9.817472</v>
      </c>
    </row>
    <row r="867" hidden="1" spans="1:14">
      <c r="A867" s="202"/>
      <c r="B867" s="203"/>
      <c r="C867" s="203" t="s">
        <v>549</v>
      </c>
      <c r="D867" s="200">
        <f t="shared" si="390"/>
        <v>18.234688</v>
      </c>
      <c r="E867" s="204">
        <f t="shared" si="391"/>
        <v>18.234688</v>
      </c>
      <c r="F867" s="205">
        <v>18.234688</v>
      </c>
      <c r="G867" s="205"/>
      <c r="H867" s="205"/>
      <c r="I867" s="204">
        <f t="shared" si="392"/>
        <v>0</v>
      </c>
      <c r="J867" s="212"/>
      <c r="K867" s="205"/>
      <c r="L867" s="205"/>
      <c r="M867" s="213"/>
      <c r="N867" s="176">
        <f t="shared" si="389"/>
        <v>18.234688</v>
      </c>
    </row>
    <row r="868" hidden="1" spans="1:14">
      <c r="A868" s="202"/>
      <c r="B868" s="203"/>
      <c r="C868" s="203" t="s">
        <v>549</v>
      </c>
      <c r="D868" s="200">
        <f t="shared" si="390"/>
        <v>11.544384</v>
      </c>
      <c r="E868" s="204">
        <f t="shared" si="391"/>
        <v>11.544384</v>
      </c>
      <c r="F868" s="205">
        <v>11.544384</v>
      </c>
      <c r="G868" s="205"/>
      <c r="H868" s="205"/>
      <c r="I868" s="204">
        <f t="shared" si="392"/>
        <v>0</v>
      </c>
      <c r="J868" s="212"/>
      <c r="K868" s="205"/>
      <c r="L868" s="205"/>
      <c r="M868" s="213"/>
      <c r="N868" s="176">
        <f t="shared" si="389"/>
        <v>11.544384</v>
      </c>
    </row>
    <row r="869" hidden="1" spans="1:14">
      <c r="A869" s="202"/>
      <c r="B869" s="203"/>
      <c r="C869" s="203" t="s">
        <v>549</v>
      </c>
      <c r="D869" s="200">
        <f t="shared" si="390"/>
        <v>8.500096</v>
      </c>
      <c r="E869" s="204">
        <f t="shared" si="391"/>
        <v>8.500096</v>
      </c>
      <c r="F869" s="205">
        <v>8.500096</v>
      </c>
      <c r="G869" s="205"/>
      <c r="H869" s="205"/>
      <c r="I869" s="204">
        <f t="shared" si="392"/>
        <v>0</v>
      </c>
      <c r="J869" s="212"/>
      <c r="K869" s="205"/>
      <c r="L869" s="205"/>
      <c r="M869" s="213"/>
      <c r="N869" s="176">
        <f t="shared" si="389"/>
        <v>8.500096</v>
      </c>
    </row>
    <row r="870" hidden="1" spans="1:14">
      <c r="A870" s="202"/>
      <c r="B870" s="203"/>
      <c r="C870" s="203" t="s">
        <v>549</v>
      </c>
      <c r="D870" s="200">
        <f t="shared" si="390"/>
        <v>12.28832</v>
      </c>
      <c r="E870" s="204">
        <f t="shared" si="391"/>
        <v>12.28832</v>
      </c>
      <c r="F870" s="205">
        <v>12.28832</v>
      </c>
      <c r="G870" s="205"/>
      <c r="H870" s="205"/>
      <c r="I870" s="204">
        <f t="shared" si="392"/>
        <v>0</v>
      </c>
      <c r="J870" s="212"/>
      <c r="K870" s="205"/>
      <c r="L870" s="205"/>
      <c r="M870" s="213"/>
      <c r="N870" s="176">
        <f t="shared" si="389"/>
        <v>12.28832</v>
      </c>
    </row>
    <row r="871" hidden="1" spans="1:14">
      <c r="A871" s="202"/>
      <c r="B871" s="203"/>
      <c r="C871" s="203" t="s">
        <v>549</v>
      </c>
      <c r="D871" s="200">
        <f t="shared" si="390"/>
        <v>4.82976</v>
      </c>
      <c r="E871" s="204">
        <f t="shared" si="391"/>
        <v>4.82976</v>
      </c>
      <c r="F871" s="205">
        <v>4.82976</v>
      </c>
      <c r="G871" s="205"/>
      <c r="H871" s="205"/>
      <c r="I871" s="204">
        <f t="shared" si="392"/>
        <v>0</v>
      </c>
      <c r="J871" s="212"/>
      <c r="K871" s="205"/>
      <c r="L871" s="205"/>
      <c r="M871" s="213"/>
      <c r="N871" s="176">
        <f t="shared" si="389"/>
        <v>4.82976</v>
      </c>
    </row>
    <row r="872" hidden="1" spans="1:14">
      <c r="A872" s="202"/>
      <c r="B872" s="203"/>
      <c r="C872" s="203" t="s">
        <v>549</v>
      </c>
      <c r="D872" s="200">
        <f t="shared" si="390"/>
        <v>4.825152</v>
      </c>
      <c r="E872" s="204">
        <f t="shared" si="391"/>
        <v>4.825152</v>
      </c>
      <c r="F872" s="205">
        <v>4.825152</v>
      </c>
      <c r="G872" s="205"/>
      <c r="H872" s="205"/>
      <c r="I872" s="204">
        <f t="shared" si="392"/>
        <v>0</v>
      </c>
      <c r="J872" s="212"/>
      <c r="K872" s="205"/>
      <c r="L872" s="205"/>
      <c r="M872" s="213"/>
      <c r="N872" s="176">
        <f t="shared" si="389"/>
        <v>4.825152</v>
      </c>
    </row>
    <row r="873" hidden="1" spans="1:14">
      <c r="A873" s="202"/>
      <c r="B873" s="203"/>
      <c r="C873" s="203" t="s">
        <v>549</v>
      </c>
      <c r="D873" s="200">
        <f t="shared" si="390"/>
        <v>7.617088</v>
      </c>
      <c r="E873" s="204">
        <f t="shared" si="391"/>
        <v>7.617088</v>
      </c>
      <c r="F873" s="205">
        <v>7.617088</v>
      </c>
      <c r="G873" s="205"/>
      <c r="H873" s="205"/>
      <c r="I873" s="204">
        <f t="shared" si="392"/>
        <v>0</v>
      </c>
      <c r="J873" s="212"/>
      <c r="K873" s="205"/>
      <c r="L873" s="205"/>
      <c r="M873" s="213"/>
      <c r="N873" s="176">
        <f t="shared" si="389"/>
        <v>7.617088</v>
      </c>
    </row>
    <row r="874" hidden="1" spans="1:14">
      <c r="A874" s="202"/>
      <c r="B874" s="203"/>
      <c r="C874" s="203" t="s">
        <v>549</v>
      </c>
      <c r="D874" s="200">
        <f t="shared" si="390"/>
        <v>10.61088</v>
      </c>
      <c r="E874" s="204">
        <f t="shared" si="391"/>
        <v>10.61088</v>
      </c>
      <c r="F874" s="205">
        <v>10.61088</v>
      </c>
      <c r="G874" s="205"/>
      <c r="H874" s="205"/>
      <c r="I874" s="204">
        <f t="shared" si="392"/>
        <v>0</v>
      </c>
      <c r="J874" s="212"/>
      <c r="K874" s="205"/>
      <c r="L874" s="205"/>
      <c r="M874" s="213"/>
      <c r="N874" s="176">
        <f t="shared" si="389"/>
        <v>10.61088</v>
      </c>
    </row>
    <row r="875" hidden="1" spans="1:14">
      <c r="A875" s="202"/>
      <c r="B875" s="203"/>
      <c r="C875" s="203" t="s">
        <v>549</v>
      </c>
      <c r="D875" s="200">
        <f t="shared" si="390"/>
        <v>8.264512</v>
      </c>
      <c r="E875" s="204">
        <f t="shared" si="391"/>
        <v>8.264512</v>
      </c>
      <c r="F875" s="205">
        <v>8.264512</v>
      </c>
      <c r="G875" s="205"/>
      <c r="H875" s="205"/>
      <c r="I875" s="204">
        <f t="shared" si="392"/>
        <v>0</v>
      </c>
      <c r="J875" s="212"/>
      <c r="K875" s="205"/>
      <c r="L875" s="205"/>
      <c r="M875" s="213"/>
      <c r="N875" s="176">
        <f t="shared" si="389"/>
        <v>8.264512</v>
      </c>
    </row>
    <row r="876" hidden="1" spans="1:14">
      <c r="A876" s="202"/>
      <c r="B876" s="203"/>
      <c r="C876" s="203" t="s">
        <v>549</v>
      </c>
      <c r="D876" s="200">
        <f t="shared" si="390"/>
        <v>5.42304</v>
      </c>
      <c r="E876" s="204">
        <f t="shared" si="391"/>
        <v>5.42304</v>
      </c>
      <c r="F876" s="205">
        <v>5.42304</v>
      </c>
      <c r="G876" s="205"/>
      <c r="H876" s="205"/>
      <c r="I876" s="204">
        <f t="shared" si="392"/>
        <v>0</v>
      </c>
      <c r="J876" s="212"/>
      <c r="K876" s="205"/>
      <c r="L876" s="205"/>
      <c r="M876" s="213"/>
      <c r="N876" s="176">
        <f t="shared" si="389"/>
        <v>5.42304</v>
      </c>
    </row>
    <row r="877" hidden="1" spans="1:14">
      <c r="A877" s="202"/>
      <c r="B877" s="203"/>
      <c r="C877" s="203" t="s">
        <v>549</v>
      </c>
      <c r="D877" s="200">
        <f t="shared" si="390"/>
        <v>17.174336</v>
      </c>
      <c r="E877" s="204">
        <f t="shared" si="391"/>
        <v>17.174336</v>
      </c>
      <c r="F877" s="205">
        <v>17.174336</v>
      </c>
      <c r="G877" s="205"/>
      <c r="H877" s="205"/>
      <c r="I877" s="204">
        <f t="shared" si="392"/>
        <v>0</v>
      </c>
      <c r="J877" s="212"/>
      <c r="K877" s="205"/>
      <c r="L877" s="205"/>
      <c r="M877" s="213"/>
      <c r="N877" s="176">
        <f t="shared" si="389"/>
        <v>17.174336</v>
      </c>
    </row>
    <row r="878" hidden="1" spans="1:14">
      <c r="A878" s="202"/>
      <c r="B878" s="203"/>
      <c r="C878" s="203" t="s">
        <v>549</v>
      </c>
      <c r="D878" s="200">
        <f t="shared" si="390"/>
        <v>8.481984</v>
      </c>
      <c r="E878" s="204">
        <f t="shared" si="391"/>
        <v>8.481984</v>
      </c>
      <c r="F878" s="205">
        <v>8.481984</v>
      </c>
      <c r="G878" s="205"/>
      <c r="H878" s="205"/>
      <c r="I878" s="204">
        <f t="shared" si="392"/>
        <v>0</v>
      </c>
      <c r="J878" s="212"/>
      <c r="K878" s="205"/>
      <c r="L878" s="205"/>
      <c r="M878" s="213"/>
      <c r="N878" s="176">
        <f t="shared" si="389"/>
        <v>8.481984</v>
      </c>
    </row>
    <row r="879" hidden="1" spans="1:14">
      <c r="A879" s="202"/>
      <c r="B879" s="203"/>
      <c r="C879" s="203" t="s">
        <v>549</v>
      </c>
      <c r="D879" s="200">
        <f t="shared" si="390"/>
        <v>4.678848</v>
      </c>
      <c r="E879" s="204">
        <f t="shared" si="391"/>
        <v>4.678848</v>
      </c>
      <c r="F879" s="205">
        <v>4.678848</v>
      </c>
      <c r="G879" s="205"/>
      <c r="H879" s="205"/>
      <c r="I879" s="204">
        <f t="shared" si="392"/>
        <v>0</v>
      </c>
      <c r="J879" s="212"/>
      <c r="K879" s="205"/>
      <c r="L879" s="205"/>
      <c r="M879" s="213"/>
      <c r="N879" s="176">
        <f t="shared" si="389"/>
        <v>4.678848</v>
      </c>
    </row>
    <row r="880" hidden="1" spans="1:14">
      <c r="A880" s="202"/>
      <c r="B880" s="203"/>
      <c r="C880" s="203" t="s">
        <v>549</v>
      </c>
      <c r="D880" s="200">
        <f t="shared" si="390"/>
        <v>3.08992</v>
      </c>
      <c r="E880" s="204">
        <f t="shared" si="391"/>
        <v>3.08992</v>
      </c>
      <c r="F880" s="205">
        <v>3.08992</v>
      </c>
      <c r="G880" s="205"/>
      <c r="H880" s="205"/>
      <c r="I880" s="204">
        <f t="shared" si="392"/>
        <v>0</v>
      </c>
      <c r="J880" s="212"/>
      <c r="K880" s="205"/>
      <c r="L880" s="205"/>
      <c r="M880" s="213"/>
      <c r="N880" s="176">
        <f t="shared" si="389"/>
        <v>3.08992</v>
      </c>
    </row>
    <row r="881" hidden="1" spans="1:14">
      <c r="A881" s="202"/>
      <c r="B881" s="203"/>
      <c r="C881" s="203" t="s">
        <v>549</v>
      </c>
      <c r="D881" s="200">
        <f t="shared" si="390"/>
        <v>3.034432</v>
      </c>
      <c r="E881" s="204">
        <f t="shared" si="391"/>
        <v>3.034432</v>
      </c>
      <c r="F881" s="205">
        <v>3.034432</v>
      </c>
      <c r="G881" s="205"/>
      <c r="H881" s="205"/>
      <c r="I881" s="204">
        <f t="shared" si="392"/>
        <v>0</v>
      </c>
      <c r="J881" s="212"/>
      <c r="K881" s="205"/>
      <c r="L881" s="205"/>
      <c r="M881" s="213"/>
      <c r="N881" s="176">
        <f t="shared" si="389"/>
        <v>3.034432</v>
      </c>
    </row>
    <row r="882" hidden="1" spans="1:14">
      <c r="A882" s="202"/>
      <c r="B882" s="203"/>
      <c r="C882" s="203" t="s">
        <v>549</v>
      </c>
      <c r="D882" s="200">
        <f t="shared" si="390"/>
        <v>4.663488</v>
      </c>
      <c r="E882" s="204">
        <f t="shared" si="391"/>
        <v>4.663488</v>
      </c>
      <c r="F882" s="205">
        <v>4.663488</v>
      </c>
      <c r="G882" s="205"/>
      <c r="H882" s="205"/>
      <c r="I882" s="204">
        <f t="shared" si="392"/>
        <v>0</v>
      </c>
      <c r="J882" s="212"/>
      <c r="K882" s="205"/>
      <c r="L882" s="205"/>
      <c r="M882" s="213"/>
      <c r="N882" s="176">
        <f t="shared" si="389"/>
        <v>4.663488</v>
      </c>
    </row>
    <row r="883" hidden="1" spans="1:14">
      <c r="A883" s="202"/>
      <c r="B883" s="203"/>
      <c r="C883" s="203" t="s">
        <v>549</v>
      </c>
      <c r="D883" s="200">
        <f t="shared" si="390"/>
        <v>2.48224</v>
      </c>
      <c r="E883" s="204">
        <f t="shared" si="391"/>
        <v>2.48224</v>
      </c>
      <c r="F883" s="205">
        <v>2.48224</v>
      </c>
      <c r="G883" s="205"/>
      <c r="H883" s="205"/>
      <c r="I883" s="204">
        <f t="shared" si="392"/>
        <v>0</v>
      </c>
      <c r="J883" s="212"/>
      <c r="K883" s="205"/>
      <c r="L883" s="205"/>
      <c r="M883" s="213"/>
      <c r="N883" s="176">
        <f t="shared" si="389"/>
        <v>2.48224</v>
      </c>
    </row>
    <row r="884" hidden="1" spans="1:14">
      <c r="A884" s="202"/>
      <c r="B884" s="203"/>
      <c r="C884" s="203" t="s">
        <v>549</v>
      </c>
      <c r="D884" s="200">
        <f t="shared" si="390"/>
        <v>5.441856</v>
      </c>
      <c r="E884" s="204">
        <f t="shared" si="391"/>
        <v>5.441856</v>
      </c>
      <c r="F884" s="205">
        <v>5.441856</v>
      </c>
      <c r="G884" s="205"/>
      <c r="H884" s="205"/>
      <c r="I884" s="204">
        <f t="shared" si="392"/>
        <v>0</v>
      </c>
      <c r="J884" s="212"/>
      <c r="K884" s="205"/>
      <c r="L884" s="205"/>
      <c r="M884" s="213"/>
      <c r="N884" s="176">
        <f t="shared" si="389"/>
        <v>5.441856</v>
      </c>
    </row>
    <row r="885" hidden="1" spans="1:14">
      <c r="A885" s="202"/>
      <c r="B885" s="203"/>
      <c r="C885" s="203" t="s">
        <v>549</v>
      </c>
      <c r="D885" s="200">
        <f t="shared" si="390"/>
        <v>4.504512</v>
      </c>
      <c r="E885" s="204">
        <f t="shared" si="391"/>
        <v>4.504512</v>
      </c>
      <c r="F885" s="205">
        <v>4.504512</v>
      </c>
      <c r="G885" s="205"/>
      <c r="H885" s="205"/>
      <c r="I885" s="204">
        <f t="shared" si="392"/>
        <v>0</v>
      </c>
      <c r="J885" s="212"/>
      <c r="K885" s="205"/>
      <c r="L885" s="205"/>
      <c r="M885" s="213"/>
      <c r="N885" s="176">
        <f t="shared" si="389"/>
        <v>4.504512</v>
      </c>
    </row>
    <row r="886" hidden="1" spans="1:14">
      <c r="A886" s="202"/>
      <c r="B886" s="203"/>
      <c r="C886" s="203" t="s">
        <v>549</v>
      </c>
      <c r="D886" s="200">
        <f t="shared" si="390"/>
        <v>4.246656</v>
      </c>
      <c r="E886" s="204">
        <f t="shared" si="391"/>
        <v>4.246656</v>
      </c>
      <c r="F886" s="205">
        <v>4.246656</v>
      </c>
      <c r="G886" s="205"/>
      <c r="H886" s="205"/>
      <c r="I886" s="204">
        <f t="shared" si="392"/>
        <v>0</v>
      </c>
      <c r="J886" s="212"/>
      <c r="K886" s="205"/>
      <c r="L886" s="205"/>
      <c r="M886" s="213"/>
      <c r="N886" s="176">
        <f t="shared" si="389"/>
        <v>4.246656</v>
      </c>
    </row>
    <row r="887" hidden="1" spans="1:14">
      <c r="A887" s="202"/>
      <c r="B887" s="203"/>
      <c r="C887" s="203" t="s">
        <v>549</v>
      </c>
      <c r="D887" s="200">
        <f t="shared" si="390"/>
        <v>4.8336</v>
      </c>
      <c r="E887" s="204">
        <f t="shared" si="391"/>
        <v>4.8336</v>
      </c>
      <c r="F887" s="205">
        <v>4.8336</v>
      </c>
      <c r="G887" s="205"/>
      <c r="H887" s="205"/>
      <c r="I887" s="204">
        <f t="shared" si="392"/>
        <v>0</v>
      </c>
      <c r="J887" s="212"/>
      <c r="K887" s="205"/>
      <c r="L887" s="205"/>
      <c r="M887" s="213"/>
      <c r="N887" s="176">
        <f t="shared" si="389"/>
        <v>4.8336</v>
      </c>
    </row>
    <row r="888" hidden="1" spans="1:14">
      <c r="A888" s="202"/>
      <c r="B888" s="203"/>
      <c r="C888" s="203" t="s">
        <v>549</v>
      </c>
      <c r="D888" s="200">
        <f t="shared" si="390"/>
        <v>2.855872</v>
      </c>
      <c r="E888" s="204">
        <f t="shared" si="391"/>
        <v>2.855872</v>
      </c>
      <c r="F888" s="205">
        <v>2.855872</v>
      </c>
      <c r="G888" s="205"/>
      <c r="H888" s="205"/>
      <c r="I888" s="204">
        <f t="shared" si="392"/>
        <v>0</v>
      </c>
      <c r="J888" s="212"/>
      <c r="K888" s="205"/>
      <c r="L888" s="205"/>
      <c r="M888" s="213"/>
      <c r="N888" s="176">
        <f t="shared" si="389"/>
        <v>2.855872</v>
      </c>
    </row>
    <row r="889" hidden="1" spans="1:14">
      <c r="A889" s="202"/>
      <c r="B889" s="203"/>
      <c r="C889" s="203" t="s">
        <v>549</v>
      </c>
      <c r="D889" s="200">
        <f t="shared" si="390"/>
        <v>4.682112</v>
      </c>
      <c r="E889" s="204">
        <f t="shared" si="391"/>
        <v>4.682112</v>
      </c>
      <c r="F889" s="205">
        <v>4.682112</v>
      </c>
      <c r="G889" s="205"/>
      <c r="H889" s="205"/>
      <c r="I889" s="204">
        <f t="shared" si="392"/>
        <v>0</v>
      </c>
      <c r="J889" s="212"/>
      <c r="K889" s="205"/>
      <c r="L889" s="205"/>
      <c r="M889" s="213"/>
      <c r="N889" s="176">
        <f t="shared" si="389"/>
        <v>4.682112</v>
      </c>
    </row>
    <row r="890" hidden="1" spans="1:14">
      <c r="A890" s="202"/>
      <c r="B890" s="203"/>
      <c r="C890" s="203" t="s">
        <v>549</v>
      </c>
      <c r="D890" s="200">
        <f t="shared" si="390"/>
        <v>3.814336</v>
      </c>
      <c r="E890" s="204">
        <f t="shared" si="391"/>
        <v>3.814336</v>
      </c>
      <c r="F890" s="205">
        <v>3.814336</v>
      </c>
      <c r="G890" s="205"/>
      <c r="H890" s="205"/>
      <c r="I890" s="204">
        <f t="shared" si="392"/>
        <v>0</v>
      </c>
      <c r="J890" s="212"/>
      <c r="K890" s="205"/>
      <c r="L890" s="205"/>
      <c r="M890" s="213"/>
      <c r="N890" s="176">
        <f t="shared" si="389"/>
        <v>3.814336</v>
      </c>
    </row>
    <row r="891" hidden="1" spans="1:14">
      <c r="A891" s="202"/>
      <c r="B891" s="203"/>
      <c r="C891" s="203" t="s">
        <v>549</v>
      </c>
      <c r="D891" s="200">
        <f t="shared" si="390"/>
        <v>8.296384</v>
      </c>
      <c r="E891" s="204">
        <f t="shared" si="391"/>
        <v>8.296384</v>
      </c>
      <c r="F891" s="205">
        <v>8.296384</v>
      </c>
      <c r="G891" s="205"/>
      <c r="H891" s="205"/>
      <c r="I891" s="204">
        <f t="shared" si="392"/>
        <v>0</v>
      </c>
      <c r="J891" s="212"/>
      <c r="K891" s="205"/>
      <c r="L891" s="205"/>
      <c r="M891" s="213"/>
      <c r="N891" s="176">
        <f t="shared" si="389"/>
        <v>8.296384</v>
      </c>
    </row>
    <row r="892" hidden="1" spans="1:14">
      <c r="A892" s="202"/>
      <c r="B892" s="203"/>
      <c r="C892" s="203" t="s">
        <v>549</v>
      </c>
      <c r="D892" s="200">
        <f t="shared" si="390"/>
        <v>4.4496</v>
      </c>
      <c r="E892" s="204">
        <f t="shared" si="391"/>
        <v>4.4496</v>
      </c>
      <c r="F892" s="205">
        <v>4.4496</v>
      </c>
      <c r="G892" s="205"/>
      <c r="H892" s="205"/>
      <c r="I892" s="204">
        <f t="shared" si="392"/>
        <v>0</v>
      </c>
      <c r="J892" s="212"/>
      <c r="K892" s="205"/>
      <c r="L892" s="205"/>
      <c r="M892" s="213"/>
      <c r="N892" s="176">
        <f t="shared" ref="N892:N955" si="393">J892+E892</f>
        <v>4.4496</v>
      </c>
    </row>
    <row r="893" hidden="1" spans="1:14">
      <c r="A893" s="202"/>
      <c r="B893" s="203"/>
      <c r="C893" s="203" t="s">
        <v>549</v>
      </c>
      <c r="D893" s="200">
        <f t="shared" si="390"/>
        <v>3.276992</v>
      </c>
      <c r="E893" s="204">
        <f t="shared" si="391"/>
        <v>3.276992</v>
      </c>
      <c r="F893" s="205">
        <v>3.276992</v>
      </c>
      <c r="G893" s="205"/>
      <c r="H893" s="205"/>
      <c r="I893" s="204">
        <f t="shared" si="392"/>
        <v>0</v>
      </c>
      <c r="J893" s="212"/>
      <c r="K893" s="205"/>
      <c r="L893" s="205"/>
      <c r="M893" s="213"/>
      <c r="N893" s="176">
        <f t="shared" si="393"/>
        <v>3.276992</v>
      </c>
    </row>
    <row r="894" hidden="1" spans="1:14">
      <c r="A894" s="202"/>
      <c r="B894" s="203"/>
      <c r="C894" s="203" t="s">
        <v>549</v>
      </c>
      <c r="D894" s="200">
        <f t="shared" si="390"/>
        <v>5.765312</v>
      </c>
      <c r="E894" s="204">
        <f t="shared" si="391"/>
        <v>5.765312</v>
      </c>
      <c r="F894" s="205">
        <v>5.765312</v>
      </c>
      <c r="G894" s="205"/>
      <c r="H894" s="205"/>
      <c r="I894" s="204">
        <f t="shared" si="392"/>
        <v>0</v>
      </c>
      <c r="J894" s="212"/>
      <c r="K894" s="205"/>
      <c r="L894" s="205"/>
      <c r="M894" s="213"/>
      <c r="N894" s="176">
        <f t="shared" si="393"/>
        <v>5.765312</v>
      </c>
    </row>
    <row r="895" hidden="1" spans="1:14">
      <c r="A895" s="202"/>
      <c r="B895" s="203"/>
      <c r="C895" s="203" t="s">
        <v>549</v>
      </c>
      <c r="D895" s="200">
        <f t="shared" si="390"/>
        <v>4.389696</v>
      </c>
      <c r="E895" s="204">
        <f t="shared" si="391"/>
        <v>4.389696</v>
      </c>
      <c r="F895" s="205">
        <v>4.389696</v>
      </c>
      <c r="G895" s="205"/>
      <c r="H895" s="205"/>
      <c r="I895" s="204">
        <f t="shared" si="392"/>
        <v>0</v>
      </c>
      <c r="J895" s="212"/>
      <c r="K895" s="205"/>
      <c r="L895" s="205"/>
      <c r="M895" s="213"/>
      <c r="N895" s="176">
        <f t="shared" si="393"/>
        <v>4.389696</v>
      </c>
    </row>
    <row r="896" hidden="1" spans="1:14">
      <c r="A896" s="202"/>
      <c r="B896" s="203"/>
      <c r="C896" s="203" t="s">
        <v>549</v>
      </c>
      <c r="D896" s="200">
        <f t="shared" si="390"/>
        <v>10.027968</v>
      </c>
      <c r="E896" s="204">
        <f t="shared" si="391"/>
        <v>10.027968</v>
      </c>
      <c r="F896" s="205">
        <v>10.027968</v>
      </c>
      <c r="G896" s="205"/>
      <c r="H896" s="205"/>
      <c r="I896" s="204">
        <f t="shared" si="392"/>
        <v>0</v>
      </c>
      <c r="J896" s="212"/>
      <c r="K896" s="205"/>
      <c r="L896" s="205"/>
      <c r="M896" s="213"/>
      <c r="N896" s="176">
        <f t="shared" si="393"/>
        <v>10.027968</v>
      </c>
    </row>
    <row r="897" hidden="1" spans="1:14">
      <c r="A897" s="202"/>
      <c r="B897" s="203"/>
      <c r="C897" s="203" t="s">
        <v>549</v>
      </c>
      <c r="D897" s="200">
        <f t="shared" si="390"/>
        <v>7.974016</v>
      </c>
      <c r="E897" s="204">
        <f t="shared" si="391"/>
        <v>7.974016</v>
      </c>
      <c r="F897" s="205">
        <v>7.974016</v>
      </c>
      <c r="G897" s="205"/>
      <c r="H897" s="205"/>
      <c r="I897" s="204">
        <f t="shared" si="392"/>
        <v>0</v>
      </c>
      <c r="J897" s="212"/>
      <c r="K897" s="205"/>
      <c r="L897" s="205"/>
      <c r="M897" s="213"/>
      <c r="N897" s="176">
        <f t="shared" si="393"/>
        <v>7.974016</v>
      </c>
    </row>
    <row r="898" hidden="1" spans="1:14">
      <c r="A898" s="202"/>
      <c r="B898" s="203"/>
      <c r="C898" s="203" t="s">
        <v>549</v>
      </c>
      <c r="D898" s="200">
        <f t="shared" si="390"/>
        <v>9.607872</v>
      </c>
      <c r="E898" s="204">
        <f t="shared" si="391"/>
        <v>9.607872</v>
      </c>
      <c r="F898" s="205">
        <v>9.607872</v>
      </c>
      <c r="G898" s="205"/>
      <c r="H898" s="205"/>
      <c r="I898" s="204">
        <f t="shared" si="392"/>
        <v>0</v>
      </c>
      <c r="J898" s="212"/>
      <c r="K898" s="205"/>
      <c r="L898" s="205"/>
      <c r="M898" s="213"/>
      <c r="N898" s="176">
        <f t="shared" si="393"/>
        <v>9.607872</v>
      </c>
    </row>
    <row r="899" hidden="1" spans="1:14">
      <c r="A899" s="202"/>
      <c r="B899" s="203"/>
      <c r="C899" s="203" t="s">
        <v>549</v>
      </c>
      <c r="D899" s="200">
        <f t="shared" si="390"/>
        <v>8.10688</v>
      </c>
      <c r="E899" s="204">
        <f t="shared" si="391"/>
        <v>8.10688</v>
      </c>
      <c r="F899" s="205">
        <v>8.10688</v>
      </c>
      <c r="G899" s="205"/>
      <c r="H899" s="205"/>
      <c r="I899" s="204">
        <f t="shared" si="392"/>
        <v>0</v>
      </c>
      <c r="J899" s="212"/>
      <c r="K899" s="205"/>
      <c r="L899" s="205"/>
      <c r="M899" s="213"/>
      <c r="N899" s="176">
        <f t="shared" si="393"/>
        <v>8.10688</v>
      </c>
    </row>
    <row r="900" hidden="1" spans="1:14">
      <c r="A900" s="202"/>
      <c r="B900" s="203"/>
      <c r="C900" s="203" t="s">
        <v>549</v>
      </c>
      <c r="D900" s="200">
        <f t="shared" si="390"/>
        <v>4.49184</v>
      </c>
      <c r="E900" s="204">
        <f t="shared" si="391"/>
        <v>4.49184</v>
      </c>
      <c r="F900" s="205">
        <v>4.49184</v>
      </c>
      <c r="G900" s="205"/>
      <c r="H900" s="205"/>
      <c r="I900" s="204">
        <f t="shared" si="392"/>
        <v>0</v>
      </c>
      <c r="J900" s="212"/>
      <c r="K900" s="205"/>
      <c r="L900" s="205"/>
      <c r="M900" s="213"/>
      <c r="N900" s="176">
        <f t="shared" si="393"/>
        <v>4.49184</v>
      </c>
    </row>
    <row r="901" hidden="1" spans="1:14">
      <c r="A901" s="202"/>
      <c r="B901" s="203"/>
      <c r="C901" s="203" t="s">
        <v>549</v>
      </c>
      <c r="D901" s="200">
        <f t="shared" si="390"/>
        <v>8.884992</v>
      </c>
      <c r="E901" s="204">
        <f t="shared" si="391"/>
        <v>8.884992</v>
      </c>
      <c r="F901" s="205">
        <v>8.884992</v>
      </c>
      <c r="G901" s="205"/>
      <c r="H901" s="205"/>
      <c r="I901" s="204">
        <f t="shared" si="392"/>
        <v>0</v>
      </c>
      <c r="J901" s="212"/>
      <c r="K901" s="205"/>
      <c r="L901" s="205"/>
      <c r="M901" s="213"/>
      <c r="N901" s="176">
        <f t="shared" si="393"/>
        <v>8.884992</v>
      </c>
    </row>
    <row r="902" hidden="1" spans="1:14">
      <c r="A902" s="202"/>
      <c r="B902" s="203"/>
      <c r="C902" s="203" t="s">
        <v>549</v>
      </c>
      <c r="D902" s="200">
        <f t="shared" si="390"/>
        <v>5.133312</v>
      </c>
      <c r="E902" s="204">
        <f t="shared" si="391"/>
        <v>5.133312</v>
      </c>
      <c r="F902" s="205">
        <v>5.133312</v>
      </c>
      <c r="G902" s="205"/>
      <c r="H902" s="205"/>
      <c r="I902" s="204">
        <f t="shared" si="392"/>
        <v>0</v>
      </c>
      <c r="J902" s="212"/>
      <c r="K902" s="205"/>
      <c r="L902" s="205"/>
      <c r="M902" s="213"/>
      <c r="N902" s="176">
        <f t="shared" si="393"/>
        <v>5.133312</v>
      </c>
    </row>
    <row r="903" hidden="1" spans="1:14">
      <c r="A903" s="202"/>
      <c r="B903" s="203"/>
      <c r="C903" s="203" t="s">
        <v>550</v>
      </c>
      <c r="D903" s="200">
        <f t="shared" si="390"/>
        <v>217.39208</v>
      </c>
      <c r="E903" s="204">
        <f t="shared" si="391"/>
        <v>217.39208</v>
      </c>
      <c r="F903" s="205">
        <v>217.39208</v>
      </c>
      <c r="G903" s="205"/>
      <c r="H903" s="205"/>
      <c r="I903" s="204">
        <f t="shared" si="392"/>
        <v>0</v>
      </c>
      <c r="J903" s="212"/>
      <c r="K903" s="205"/>
      <c r="L903" s="205"/>
      <c r="M903" s="213"/>
      <c r="N903" s="176">
        <f t="shared" si="393"/>
        <v>217.39208</v>
      </c>
    </row>
    <row r="904" hidden="1" spans="1:14">
      <c r="A904" s="202"/>
      <c r="B904" s="203"/>
      <c r="C904" s="203" t="s">
        <v>551</v>
      </c>
      <c r="D904" s="200">
        <f t="shared" si="390"/>
        <v>15.69024</v>
      </c>
      <c r="E904" s="204">
        <f t="shared" si="391"/>
        <v>15.69024</v>
      </c>
      <c r="F904" s="205">
        <v>15.69024</v>
      </c>
      <c r="G904" s="205"/>
      <c r="H904" s="205"/>
      <c r="I904" s="204">
        <f t="shared" si="392"/>
        <v>0</v>
      </c>
      <c r="J904" s="212"/>
      <c r="K904" s="205"/>
      <c r="L904" s="205"/>
      <c r="M904" s="213"/>
      <c r="N904" s="176">
        <f t="shared" si="393"/>
        <v>15.69024</v>
      </c>
    </row>
    <row r="905" hidden="1" spans="1:14">
      <c r="A905" s="202"/>
      <c r="B905" s="203"/>
      <c r="C905" s="203" t="s">
        <v>551</v>
      </c>
      <c r="D905" s="200">
        <f t="shared" si="390"/>
        <v>12.02592</v>
      </c>
      <c r="E905" s="204">
        <f t="shared" si="391"/>
        <v>12.02592</v>
      </c>
      <c r="F905" s="205">
        <v>12.02592</v>
      </c>
      <c r="G905" s="205"/>
      <c r="H905" s="205"/>
      <c r="I905" s="204">
        <f t="shared" si="392"/>
        <v>0</v>
      </c>
      <c r="J905" s="212"/>
      <c r="K905" s="205"/>
      <c r="L905" s="205"/>
      <c r="M905" s="213"/>
      <c r="N905" s="176">
        <f t="shared" si="393"/>
        <v>12.02592</v>
      </c>
    </row>
    <row r="906" hidden="1" spans="1:14">
      <c r="A906" s="202"/>
      <c r="B906" s="203"/>
      <c r="C906" s="203" t="s">
        <v>551</v>
      </c>
      <c r="D906" s="200">
        <f t="shared" si="390"/>
        <v>4.511808</v>
      </c>
      <c r="E906" s="204">
        <f t="shared" si="391"/>
        <v>4.511808</v>
      </c>
      <c r="F906" s="205">
        <v>4.511808</v>
      </c>
      <c r="G906" s="205"/>
      <c r="H906" s="205"/>
      <c r="I906" s="204">
        <f t="shared" si="392"/>
        <v>0</v>
      </c>
      <c r="J906" s="212"/>
      <c r="K906" s="205"/>
      <c r="L906" s="205"/>
      <c r="M906" s="213"/>
      <c r="N906" s="176">
        <f t="shared" si="393"/>
        <v>4.511808</v>
      </c>
    </row>
    <row r="907" hidden="1" spans="1:14">
      <c r="A907" s="202"/>
      <c r="B907" s="203"/>
      <c r="C907" s="203" t="s">
        <v>551</v>
      </c>
      <c r="D907" s="200">
        <f t="shared" si="390"/>
        <v>5.88535</v>
      </c>
      <c r="E907" s="204">
        <f t="shared" si="391"/>
        <v>5.88535</v>
      </c>
      <c r="F907" s="205">
        <v>5.88535</v>
      </c>
      <c r="G907" s="205"/>
      <c r="H907" s="205"/>
      <c r="I907" s="204">
        <f t="shared" si="392"/>
        <v>0</v>
      </c>
      <c r="J907" s="212"/>
      <c r="K907" s="205"/>
      <c r="L907" s="205"/>
      <c r="M907" s="213"/>
      <c r="N907" s="176">
        <f t="shared" si="393"/>
        <v>5.88535</v>
      </c>
    </row>
    <row r="908" hidden="1" spans="1:14">
      <c r="A908" s="202"/>
      <c r="B908" s="203"/>
      <c r="C908" s="203" t="s">
        <v>551</v>
      </c>
      <c r="D908" s="200">
        <f t="shared" si="390"/>
        <v>1.60448</v>
      </c>
      <c r="E908" s="204">
        <f t="shared" si="391"/>
        <v>1.60448</v>
      </c>
      <c r="F908" s="205">
        <v>1.60448</v>
      </c>
      <c r="G908" s="205"/>
      <c r="H908" s="205"/>
      <c r="I908" s="204">
        <f t="shared" si="392"/>
        <v>0</v>
      </c>
      <c r="J908" s="212"/>
      <c r="K908" s="205"/>
      <c r="L908" s="205"/>
      <c r="M908" s="213"/>
      <c r="N908" s="176">
        <f t="shared" si="393"/>
        <v>1.60448</v>
      </c>
    </row>
    <row r="909" hidden="1" spans="1:14">
      <c r="A909" s="202"/>
      <c r="B909" s="203"/>
      <c r="C909" s="203" t="s">
        <v>552</v>
      </c>
      <c r="D909" s="200">
        <f t="shared" si="390"/>
        <v>12.408986</v>
      </c>
      <c r="E909" s="204">
        <f t="shared" si="391"/>
        <v>12.408986</v>
      </c>
      <c r="F909" s="205">
        <v>12.408986</v>
      </c>
      <c r="G909" s="205"/>
      <c r="H909" s="205"/>
      <c r="I909" s="204">
        <f t="shared" si="392"/>
        <v>0</v>
      </c>
      <c r="J909" s="212"/>
      <c r="K909" s="205"/>
      <c r="L909" s="205"/>
      <c r="M909" s="213"/>
      <c r="N909" s="176">
        <f t="shared" si="393"/>
        <v>12.408986</v>
      </c>
    </row>
    <row r="910" hidden="1" spans="1:14">
      <c r="A910" s="202"/>
      <c r="B910" s="203"/>
      <c r="C910" s="203" t="s">
        <v>553</v>
      </c>
      <c r="D910" s="200">
        <f t="shared" si="390"/>
        <v>13.177456</v>
      </c>
      <c r="E910" s="204">
        <f t="shared" si="391"/>
        <v>13.177456</v>
      </c>
      <c r="F910" s="205">
        <v>13.177456</v>
      </c>
      <c r="G910" s="205"/>
      <c r="H910" s="205"/>
      <c r="I910" s="204">
        <f t="shared" si="392"/>
        <v>0</v>
      </c>
      <c r="J910" s="212"/>
      <c r="K910" s="205"/>
      <c r="L910" s="205"/>
      <c r="M910" s="213"/>
      <c r="N910" s="176">
        <f t="shared" si="393"/>
        <v>13.177456</v>
      </c>
    </row>
    <row r="911" hidden="1" spans="1:14">
      <c r="A911" s="202"/>
      <c r="B911" s="203"/>
      <c r="C911" s="203" t="s">
        <v>554</v>
      </c>
      <c r="D911" s="200">
        <f t="shared" si="390"/>
        <v>45.497488</v>
      </c>
      <c r="E911" s="204">
        <f t="shared" si="391"/>
        <v>45.497488</v>
      </c>
      <c r="F911" s="205">
        <v>45.497488</v>
      </c>
      <c r="G911" s="205"/>
      <c r="H911" s="205"/>
      <c r="I911" s="204">
        <f t="shared" si="392"/>
        <v>0</v>
      </c>
      <c r="J911" s="212"/>
      <c r="K911" s="205"/>
      <c r="L911" s="205"/>
      <c r="M911" s="213"/>
      <c r="N911" s="176">
        <f t="shared" si="393"/>
        <v>45.497488</v>
      </c>
    </row>
    <row r="912" hidden="1" spans="1:14">
      <c r="A912" s="202"/>
      <c r="B912" s="203"/>
      <c r="C912" s="203" t="s">
        <v>555</v>
      </c>
      <c r="D912" s="200">
        <f t="shared" si="390"/>
        <v>22.619984</v>
      </c>
      <c r="E912" s="204">
        <f t="shared" si="391"/>
        <v>22.619984</v>
      </c>
      <c r="F912" s="205">
        <v>22.619984</v>
      </c>
      <c r="G912" s="205"/>
      <c r="H912" s="205"/>
      <c r="I912" s="204">
        <f t="shared" si="392"/>
        <v>0</v>
      </c>
      <c r="J912" s="212"/>
      <c r="K912" s="205"/>
      <c r="L912" s="205"/>
      <c r="M912" s="213"/>
      <c r="N912" s="176">
        <f t="shared" si="393"/>
        <v>22.619984</v>
      </c>
    </row>
    <row r="913" hidden="1" spans="1:14">
      <c r="A913" s="202"/>
      <c r="B913" s="203"/>
      <c r="C913" s="203" t="s">
        <v>556</v>
      </c>
      <c r="D913" s="200">
        <f t="shared" si="390"/>
        <v>8.732064</v>
      </c>
      <c r="E913" s="204">
        <f t="shared" si="391"/>
        <v>8.732064</v>
      </c>
      <c r="F913" s="205">
        <v>8.732064</v>
      </c>
      <c r="G913" s="205"/>
      <c r="H913" s="205"/>
      <c r="I913" s="204">
        <f t="shared" si="392"/>
        <v>0</v>
      </c>
      <c r="J913" s="212"/>
      <c r="K913" s="205"/>
      <c r="L913" s="205"/>
      <c r="M913" s="213"/>
      <c r="N913" s="176">
        <f t="shared" si="393"/>
        <v>8.732064</v>
      </c>
    </row>
    <row r="914" hidden="1" spans="1:14">
      <c r="A914" s="202"/>
      <c r="B914" s="203"/>
      <c r="C914" s="203" t="s">
        <v>557</v>
      </c>
      <c r="D914" s="200">
        <f t="shared" si="390"/>
        <v>45.774496</v>
      </c>
      <c r="E914" s="204">
        <f t="shared" si="391"/>
        <v>45.774496</v>
      </c>
      <c r="F914" s="205">
        <v>45.774496</v>
      </c>
      <c r="G914" s="205"/>
      <c r="H914" s="205"/>
      <c r="I914" s="204">
        <f t="shared" si="392"/>
        <v>0</v>
      </c>
      <c r="J914" s="212"/>
      <c r="K914" s="205"/>
      <c r="L914" s="205"/>
      <c r="M914" s="213"/>
      <c r="N914" s="176">
        <f t="shared" si="393"/>
        <v>45.774496</v>
      </c>
    </row>
    <row r="915" ht="36" hidden="1" spans="1:14">
      <c r="A915" s="202"/>
      <c r="B915" s="203"/>
      <c r="C915" s="203" t="s">
        <v>558</v>
      </c>
      <c r="D915" s="200">
        <f t="shared" si="390"/>
        <v>40.114221</v>
      </c>
      <c r="E915" s="204">
        <f t="shared" si="391"/>
        <v>40.114221</v>
      </c>
      <c r="F915" s="205">
        <v>40.114221</v>
      </c>
      <c r="G915" s="205"/>
      <c r="H915" s="205"/>
      <c r="I915" s="204">
        <f t="shared" si="392"/>
        <v>0</v>
      </c>
      <c r="J915" s="212"/>
      <c r="K915" s="205"/>
      <c r="L915" s="205"/>
      <c r="M915" s="213"/>
      <c r="N915" s="176">
        <f t="shared" si="393"/>
        <v>40.114221</v>
      </c>
    </row>
    <row r="916" hidden="1" spans="1:14">
      <c r="A916" s="202"/>
      <c r="B916" s="203"/>
      <c r="C916" s="203" t="s">
        <v>559</v>
      </c>
      <c r="D916" s="200">
        <f t="shared" si="390"/>
        <v>12.005056</v>
      </c>
      <c r="E916" s="204">
        <f t="shared" si="391"/>
        <v>12.005056</v>
      </c>
      <c r="F916" s="205">
        <v>12.005056</v>
      </c>
      <c r="G916" s="205"/>
      <c r="H916" s="205"/>
      <c r="I916" s="204">
        <f t="shared" si="392"/>
        <v>0</v>
      </c>
      <c r="J916" s="212"/>
      <c r="K916" s="205"/>
      <c r="L916" s="205"/>
      <c r="M916" s="213"/>
      <c r="N916" s="176">
        <f t="shared" si="393"/>
        <v>12.005056</v>
      </c>
    </row>
    <row r="917" hidden="1" spans="1:14">
      <c r="A917" s="202"/>
      <c r="B917" s="203"/>
      <c r="C917" s="203" t="s">
        <v>560</v>
      </c>
      <c r="D917" s="200">
        <f t="shared" si="390"/>
        <v>169.967808</v>
      </c>
      <c r="E917" s="204">
        <f t="shared" si="391"/>
        <v>169.967808</v>
      </c>
      <c r="F917" s="205">
        <v>169.967808</v>
      </c>
      <c r="G917" s="205"/>
      <c r="H917" s="205"/>
      <c r="I917" s="204">
        <f t="shared" si="392"/>
        <v>0</v>
      </c>
      <c r="J917" s="212"/>
      <c r="K917" s="205"/>
      <c r="L917" s="205"/>
      <c r="M917" s="213"/>
      <c r="N917" s="176">
        <f t="shared" si="393"/>
        <v>169.967808</v>
      </c>
    </row>
    <row r="918" ht="24" hidden="1" spans="1:14">
      <c r="A918" s="202"/>
      <c r="B918" s="203"/>
      <c r="C918" s="203" t="s">
        <v>459</v>
      </c>
      <c r="D918" s="200">
        <f t="shared" ref="D918:D981" si="394">E918+I918</f>
        <v>58.214617</v>
      </c>
      <c r="E918" s="204">
        <f t="shared" ref="E918:E981" si="395">SUM(F918:H918)</f>
        <v>58.214617</v>
      </c>
      <c r="F918" s="205">
        <v>58.214617</v>
      </c>
      <c r="G918" s="205"/>
      <c r="H918" s="205"/>
      <c r="I918" s="204">
        <f t="shared" ref="I918:I981" si="396">SUM(J918:L918)</f>
        <v>0</v>
      </c>
      <c r="J918" s="212"/>
      <c r="K918" s="205"/>
      <c r="L918" s="205"/>
      <c r="M918" s="213"/>
      <c r="N918" s="176">
        <f t="shared" si="393"/>
        <v>58.214617</v>
      </c>
    </row>
    <row r="919" ht="24" hidden="1" spans="1:14">
      <c r="A919" s="202"/>
      <c r="B919" s="203"/>
      <c r="C919" s="203" t="s">
        <v>561</v>
      </c>
      <c r="D919" s="200">
        <f t="shared" si="394"/>
        <v>32.411456</v>
      </c>
      <c r="E919" s="204">
        <f t="shared" si="395"/>
        <v>32.411456</v>
      </c>
      <c r="F919" s="205">
        <v>32.411456</v>
      </c>
      <c r="G919" s="205"/>
      <c r="H919" s="205"/>
      <c r="I919" s="204">
        <f t="shared" si="396"/>
        <v>0</v>
      </c>
      <c r="J919" s="212"/>
      <c r="K919" s="205"/>
      <c r="L919" s="205"/>
      <c r="M919" s="213"/>
      <c r="N919" s="176">
        <f t="shared" si="393"/>
        <v>32.411456</v>
      </c>
    </row>
    <row r="920" hidden="1" spans="1:14">
      <c r="A920" s="202"/>
      <c r="B920" s="203"/>
      <c r="C920" s="203" t="s">
        <v>562</v>
      </c>
      <c r="D920" s="200">
        <f t="shared" si="394"/>
        <v>13.582752</v>
      </c>
      <c r="E920" s="204">
        <f t="shared" si="395"/>
        <v>13.582752</v>
      </c>
      <c r="F920" s="205">
        <v>13.582752</v>
      </c>
      <c r="G920" s="205"/>
      <c r="H920" s="205"/>
      <c r="I920" s="204">
        <f t="shared" si="396"/>
        <v>0</v>
      </c>
      <c r="J920" s="212"/>
      <c r="K920" s="205"/>
      <c r="L920" s="205"/>
      <c r="M920" s="213"/>
      <c r="N920" s="176">
        <f t="shared" si="393"/>
        <v>13.582752</v>
      </c>
    </row>
    <row r="921" ht="36" hidden="1" spans="1:14">
      <c r="A921" s="202"/>
      <c r="B921" s="203"/>
      <c r="C921" s="203" t="s">
        <v>563</v>
      </c>
      <c r="D921" s="200">
        <f t="shared" si="394"/>
        <v>20.14976</v>
      </c>
      <c r="E921" s="204">
        <f t="shared" si="395"/>
        <v>20.14976</v>
      </c>
      <c r="F921" s="205">
        <v>20.14976</v>
      </c>
      <c r="G921" s="205"/>
      <c r="H921" s="205"/>
      <c r="I921" s="204">
        <f t="shared" si="396"/>
        <v>0</v>
      </c>
      <c r="J921" s="212"/>
      <c r="K921" s="205"/>
      <c r="L921" s="205"/>
      <c r="M921" s="213"/>
      <c r="N921" s="176">
        <f t="shared" si="393"/>
        <v>20.14976</v>
      </c>
    </row>
    <row r="922" ht="36" hidden="1" spans="1:14">
      <c r="A922" s="202"/>
      <c r="B922" s="203"/>
      <c r="C922" s="203" t="s">
        <v>564</v>
      </c>
      <c r="D922" s="200">
        <f t="shared" si="394"/>
        <v>80.167965</v>
      </c>
      <c r="E922" s="204">
        <f t="shared" si="395"/>
        <v>80.167965</v>
      </c>
      <c r="F922" s="205">
        <v>80.167965</v>
      </c>
      <c r="G922" s="205"/>
      <c r="H922" s="205"/>
      <c r="I922" s="204">
        <f t="shared" si="396"/>
        <v>0</v>
      </c>
      <c r="J922" s="212"/>
      <c r="K922" s="205"/>
      <c r="L922" s="205"/>
      <c r="M922" s="213"/>
      <c r="N922" s="176">
        <f t="shared" si="393"/>
        <v>80.167965</v>
      </c>
    </row>
    <row r="923" ht="36" hidden="1" spans="1:14">
      <c r="A923" s="202"/>
      <c r="B923" s="203"/>
      <c r="C923" s="203" t="s">
        <v>564</v>
      </c>
      <c r="D923" s="200">
        <f t="shared" si="394"/>
        <v>5.5776</v>
      </c>
      <c r="E923" s="204">
        <f t="shared" si="395"/>
        <v>5.5776</v>
      </c>
      <c r="F923" s="205">
        <v>5.5776</v>
      </c>
      <c r="G923" s="205"/>
      <c r="H923" s="205"/>
      <c r="I923" s="204">
        <f t="shared" si="396"/>
        <v>0</v>
      </c>
      <c r="J923" s="212"/>
      <c r="K923" s="205"/>
      <c r="L923" s="205"/>
      <c r="M923" s="213"/>
      <c r="N923" s="176">
        <f t="shared" si="393"/>
        <v>5.5776</v>
      </c>
    </row>
    <row r="924" ht="36" hidden="1" spans="1:14">
      <c r="A924" s="202"/>
      <c r="B924" s="203"/>
      <c r="C924" s="203" t="s">
        <v>564</v>
      </c>
      <c r="D924" s="200">
        <f t="shared" si="394"/>
        <v>14.008256</v>
      </c>
      <c r="E924" s="204">
        <f t="shared" si="395"/>
        <v>14.008256</v>
      </c>
      <c r="F924" s="205">
        <v>14.008256</v>
      </c>
      <c r="G924" s="205"/>
      <c r="H924" s="205"/>
      <c r="I924" s="204">
        <f t="shared" si="396"/>
        <v>0</v>
      </c>
      <c r="J924" s="212"/>
      <c r="K924" s="205"/>
      <c r="L924" s="205"/>
      <c r="M924" s="213"/>
      <c r="N924" s="176">
        <f t="shared" si="393"/>
        <v>14.008256</v>
      </c>
    </row>
    <row r="925" ht="36" hidden="1" spans="1:14">
      <c r="A925" s="202"/>
      <c r="B925" s="203"/>
      <c r="C925" s="203" t="s">
        <v>564</v>
      </c>
      <c r="D925" s="200">
        <f t="shared" si="394"/>
        <v>3.093568</v>
      </c>
      <c r="E925" s="204">
        <f t="shared" si="395"/>
        <v>3.093568</v>
      </c>
      <c r="F925" s="205">
        <v>3.093568</v>
      </c>
      <c r="G925" s="205"/>
      <c r="H925" s="205"/>
      <c r="I925" s="204">
        <f t="shared" si="396"/>
        <v>0</v>
      </c>
      <c r="J925" s="212"/>
      <c r="K925" s="205"/>
      <c r="L925" s="205"/>
      <c r="M925" s="213"/>
      <c r="N925" s="176">
        <f t="shared" si="393"/>
        <v>3.093568</v>
      </c>
    </row>
    <row r="926" ht="36" hidden="1" spans="1:14">
      <c r="A926" s="202"/>
      <c r="B926" s="203"/>
      <c r="C926" s="203" t="s">
        <v>564</v>
      </c>
      <c r="D926" s="200">
        <f t="shared" si="394"/>
        <v>5.589248</v>
      </c>
      <c r="E926" s="204">
        <f t="shared" si="395"/>
        <v>5.589248</v>
      </c>
      <c r="F926" s="205">
        <v>5.589248</v>
      </c>
      <c r="G926" s="205"/>
      <c r="H926" s="205"/>
      <c r="I926" s="204">
        <f t="shared" si="396"/>
        <v>0</v>
      </c>
      <c r="J926" s="212"/>
      <c r="K926" s="205"/>
      <c r="L926" s="205"/>
      <c r="M926" s="213"/>
      <c r="N926" s="176">
        <f t="shared" si="393"/>
        <v>5.589248</v>
      </c>
    </row>
    <row r="927" ht="36" hidden="1" spans="1:14">
      <c r="A927" s="202"/>
      <c r="B927" s="203"/>
      <c r="C927" s="203" t="s">
        <v>564</v>
      </c>
      <c r="D927" s="200">
        <f t="shared" si="394"/>
        <v>2.556928</v>
      </c>
      <c r="E927" s="204">
        <f t="shared" si="395"/>
        <v>2.556928</v>
      </c>
      <c r="F927" s="205">
        <v>2.556928</v>
      </c>
      <c r="G927" s="205"/>
      <c r="H927" s="205"/>
      <c r="I927" s="204">
        <f t="shared" si="396"/>
        <v>0</v>
      </c>
      <c r="J927" s="212"/>
      <c r="K927" s="205"/>
      <c r="L927" s="205"/>
      <c r="M927" s="213"/>
      <c r="N927" s="176">
        <f t="shared" si="393"/>
        <v>2.556928</v>
      </c>
    </row>
    <row r="928" ht="36" hidden="1" spans="1:14">
      <c r="A928" s="202"/>
      <c r="B928" s="203"/>
      <c r="C928" s="203" t="s">
        <v>564</v>
      </c>
      <c r="D928" s="200">
        <f t="shared" si="394"/>
        <v>2.807104</v>
      </c>
      <c r="E928" s="204">
        <f t="shared" si="395"/>
        <v>2.807104</v>
      </c>
      <c r="F928" s="205">
        <v>2.807104</v>
      </c>
      <c r="G928" s="205"/>
      <c r="H928" s="205"/>
      <c r="I928" s="204">
        <f t="shared" si="396"/>
        <v>0</v>
      </c>
      <c r="J928" s="212"/>
      <c r="K928" s="205"/>
      <c r="L928" s="205"/>
      <c r="M928" s="213"/>
      <c r="N928" s="176">
        <f t="shared" si="393"/>
        <v>2.807104</v>
      </c>
    </row>
    <row r="929" ht="36" hidden="1" spans="1:14">
      <c r="A929" s="202"/>
      <c r="B929" s="203"/>
      <c r="C929" s="203" t="s">
        <v>564</v>
      </c>
      <c r="D929" s="200">
        <f t="shared" si="394"/>
        <v>19.865152</v>
      </c>
      <c r="E929" s="204">
        <f t="shared" si="395"/>
        <v>19.865152</v>
      </c>
      <c r="F929" s="205">
        <v>19.865152</v>
      </c>
      <c r="G929" s="205"/>
      <c r="H929" s="205"/>
      <c r="I929" s="204">
        <f t="shared" si="396"/>
        <v>0</v>
      </c>
      <c r="J929" s="212"/>
      <c r="K929" s="205"/>
      <c r="L929" s="205"/>
      <c r="M929" s="213"/>
      <c r="N929" s="176">
        <f t="shared" si="393"/>
        <v>19.865152</v>
      </c>
    </row>
    <row r="930" ht="36" hidden="1" spans="1:14">
      <c r="A930" s="202"/>
      <c r="B930" s="203"/>
      <c r="C930" s="203" t="s">
        <v>564</v>
      </c>
      <c r="D930" s="200">
        <f t="shared" si="394"/>
        <v>3.524032</v>
      </c>
      <c r="E930" s="204">
        <f t="shared" si="395"/>
        <v>3.524032</v>
      </c>
      <c r="F930" s="205">
        <v>3.524032</v>
      </c>
      <c r="G930" s="205"/>
      <c r="H930" s="205"/>
      <c r="I930" s="204">
        <f t="shared" si="396"/>
        <v>0</v>
      </c>
      <c r="J930" s="212"/>
      <c r="K930" s="205"/>
      <c r="L930" s="205"/>
      <c r="M930" s="213"/>
      <c r="N930" s="176">
        <f t="shared" si="393"/>
        <v>3.524032</v>
      </c>
    </row>
    <row r="931" ht="36" hidden="1" spans="1:14">
      <c r="A931" s="202"/>
      <c r="B931" s="203"/>
      <c r="C931" s="203" t="s">
        <v>565</v>
      </c>
      <c r="D931" s="200">
        <f t="shared" si="394"/>
        <v>44.376112</v>
      </c>
      <c r="E931" s="204">
        <f t="shared" si="395"/>
        <v>44.376112</v>
      </c>
      <c r="F931" s="205">
        <v>44.376112</v>
      </c>
      <c r="G931" s="205"/>
      <c r="H931" s="205"/>
      <c r="I931" s="204">
        <f t="shared" si="396"/>
        <v>0</v>
      </c>
      <c r="J931" s="212"/>
      <c r="K931" s="205"/>
      <c r="L931" s="205"/>
      <c r="M931" s="213"/>
      <c r="N931" s="176">
        <f t="shared" si="393"/>
        <v>44.376112</v>
      </c>
    </row>
    <row r="932" ht="36" hidden="1" spans="1:14">
      <c r="A932" s="202"/>
      <c r="B932" s="203"/>
      <c r="C932" s="203" t="s">
        <v>565</v>
      </c>
      <c r="D932" s="200">
        <f t="shared" si="394"/>
        <v>5.979584</v>
      </c>
      <c r="E932" s="204">
        <f t="shared" si="395"/>
        <v>5.979584</v>
      </c>
      <c r="F932" s="205">
        <v>5.979584</v>
      </c>
      <c r="G932" s="205"/>
      <c r="H932" s="205"/>
      <c r="I932" s="204">
        <f t="shared" si="396"/>
        <v>0</v>
      </c>
      <c r="J932" s="212"/>
      <c r="K932" s="205"/>
      <c r="L932" s="205"/>
      <c r="M932" s="213"/>
      <c r="N932" s="176">
        <f t="shared" si="393"/>
        <v>5.979584</v>
      </c>
    </row>
    <row r="933" ht="36" hidden="1" spans="1:14">
      <c r="A933" s="202"/>
      <c r="B933" s="203"/>
      <c r="C933" s="203" t="s">
        <v>565</v>
      </c>
      <c r="D933" s="200">
        <f t="shared" si="394"/>
        <v>6.863488</v>
      </c>
      <c r="E933" s="204">
        <f t="shared" si="395"/>
        <v>6.863488</v>
      </c>
      <c r="F933" s="205">
        <v>6.863488</v>
      </c>
      <c r="G933" s="205"/>
      <c r="H933" s="205"/>
      <c r="I933" s="204">
        <f t="shared" si="396"/>
        <v>0</v>
      </c>
      <c r="J933" s="212"/>
      <c r="K933" s="205"/>
      <c r="L933" s="205"/>
      <c r="M933" s="213"/>
      <c r="N933" s="176">
        <f t="shared" si="393"/>
        <v>6.863488</v>
      </c>
    </row>
    <row r="934" ht="36" hidden="1" spans="1:14">
      <c r="A934" s="202"/>
      <c r="B934" s="203"/>
      <c r="C934" s="203" t="s">
        <v>565</v>
      </c>
      <c r="D934" s="200">
        <f t="shared" si="394"/>
        <v>2.850688</v>
      </c>
      <c r="E934" s="204">
        <f t="shared" si="395"/>
        <v>2.850688</v>
      </c>
      <c r="F934" s="205">
        <v>2.850688</v>
      </c>
      <c r="G934" s="205"/>
      <c r="H934" s="205"/>
      <c r="I934" s="204">
        <f t="shared" si="396"/>
        <v>0</v>
      </c>
      <c r="J934" s="212"/>
      <c r="K934" s="205"/>
      <c r="L934" s="205"/>
      <c r="M934" s="213"/>
      <c r="N934" s="176">
        <f t="shared" si="393"/>
        <v>2.850688</v>
      </c>
    </row>
    <row r="935" ht="36" hidden="1" spans="1:14">
      <c r="A935" s="202"/>
      <c r="B935" s="203"/>
      <c r="C935" s="203" t="s">
        <v>565</v>
      </c>
      <c r="D935" s="200">
        <f t="shared" si="394"/>
        <v>4.224768</v>
      </c>
      <c r="E935" s="204">
        <f t="shared" si="395"/>
        <v>4.224768</v>
      </c>
      <c r="F935" s="205">
        <v>4.224768</v>
      </c>
      <c r="G935" s="205"/>
      <c r="H935" s="205"/>
      <c r="I935" s="204">
        <f t="shared" si="396"/>
        <v>0</v>
      </c>
      <c r="J935" s="212"/>
      <c r="K935" s="205"/>
      <c r="L935" s="205"/>
      <c r="M935" s="213"/>
      <c r="N935" s="176">
        <f t="shared" si="393"/>
        <v>4.224768</v>
      </c>
    </row>
    <row r="936" ht="36" hidden="1" spans="1:14">
      <c r="A936" s="202"/>
      <c r="B936" s="203"/>
      <c r="C936" s="203" t="s">
        <v>565</v>
      </c>
      <c r="D936" s="200">
        <f t="shared" si="394"/>
        <v>1.36096</v>
      </c>
      <c r="E936" s="204">
        <f t="shared" si="395"/>
        <v>1.36096</v>
      </c>
      <c r="F936" s="205">
        <v>1.36096</v>
      </c>
      <c r="G936" s="205"/>
      <c r="H936" s="205"/>
      <c r="I936" s="204">
        <f t="shared" si="396"/>
        <v>0</v>
      </c>
      <c r="J936" s="212"/>
      <c r="K936" s="205"/>
      <c r="L936" s="205"/>
      <c r="M936" s="213"/>
      <c r="N936" s="176">
        <f t="shared" si="393"/>
        <v>1.36096</v>
      </c>
    </row>
    <row r="937" ht="36" hidden="1" spans="1:14">
      <c r="A937" s="202"/>
      <c r="B937" s="203"/>
      <c r="C937" s="203" t="s">
        <v>565</v>
      </c>
      <c r="D937" s="200">
        <f t="shared" si="394"/>
        <v>2.833984</v>
      </c>
      <c r="E937" s="204">
        <f t="shared" si="395"/>
        <v>2.833984</v>
      </c>
      <c r="F937" s="205">
        <v>2.833984</v>
      </c>
      <c r="G937" s="205"/>
      <c r="H937" s="205"/>
      <c r="I937" s="204">
        <f t="shared" si="396"/>
        <v>0</v>
      </c>
      <c r="J937" s="212"/>
      <c r="K937" s="205"/>
      <c r="L937" s="205"/>
      <c r="M937" s="213"/>
      <c r="N937" s="176">
        <f t="shared" si="393"/>
        <v>2.833984</v>
      </c>
    </row>
    <row r="938" ht="36" hidden="1" spans="1:14">
      <c r="A938" s="202"/>
      <c r="B938" s="203"/>
      <c r="C938" s="203" t="s">
        <v>565</v>
      </c>
      <c r="D938" s="200">
        <f t="shared" si="394"/>
        <v>12.351936</v>
      </c>
      <c r="E938" s="204">
        <f t="shared" si="395"/>
        <v>12.351936</v>
      </c>
      <c r="F938" s="205">
        <v>12.351936</v>
      </c>
      <c r="G938" s="205"/>
      <c r="H938" s="205"/>
      <c r="I938" s="204">
        <f t="shared" si="396"/>
        <v>0</v>
      </c>
      <c r="J938" s="212"/>
      <c r="K938" s="205"/>
      <c r="L938" s="205"/>
      <c r="M938" s="213"/>
      <c r="N938" s="176">
        <f t="shared" si="393"/>
        <v>12.351936</v>
      </c>
    </row>
    <row r="939" ht="36" hidden="1" spans="1:14">
      <c r="A939" s="202"/>
      <c r="B939" s="203"/>
      <c r="C939" s="203" t="s">
        <v>565</v>
      </c>
      <c r="D939" s="200">
        <f t="shared" si="394"/>
        <v>1.745216</v>
      </c>
      <c r="E939" s="204">
        <f t="shared" si="395"/>
        <v>1.745216</v>
      </c>
      <c r="F939" s="205">
        <v>1.745216</v>
      </c>
      <c r="G939" s="205"/>
      <c r="H939" s="205"/>
      <c r="I939" s="204">
        <f t="shared" si="396"/>
        <v>0</v>
      </c>
      <c r="J939" s="212"/>
      <c r="K939" s="205"/>
      <c r="L939" s="205"/>
      <c r="M939" s="213"/>
      <c r="N939" s="176">
        <f t="shared" si="393"/>
        <v>1.745216</v>
      </c>
    </row>
    <row r="940" ht="36" hidden="1" spans="1:14">
      <c r="A940" s="202"/>
      <c r="B940" s="203"/>
      <c r="C940" s="203" t="s">
        <v>566</v>
      </c>
      <c r="D940" s="200">
        <f t="shared" si="394"/>
        <v>79.294122</v>
      </c>
      <c r="E940" s="204">
        <f t="shared" si="395"/>
        <v>79.294122</v>
      </c>
      <c r="F940" s="205">
        <v>79.294122</v>
      </c>
      <c r="G940" s="205"/>
      <c r="H940" s="205"/>
      <c r="I940" s="204">
        <f t="shared" si="396"/>
        <v>0</v>
      </c>
      <c r="J940" s="212"/>
      <c r="K940" s="205"/>
      <c r="L940" s="205"/>
      <c r="M940" s="213"/>
      <c r="N940" s="176">
        <f t="shared" si="393"/>
        <v>79.294122</v>
      </c>
    </row>
    <row r="941" ht="36" hidden="1" spans="1:14">
      <c r="A941" s="202"/>
      <c r="B941" s="203"/>
      <c r="C941" s="203" t="s">
        <v>566</v>
      </c>
      <c r="D941" s="200">
        <f t="shared" si="394"/>
        <v>9.626176</v>
      </c>
      <c r="E941" s="204">
        <f t="shared" si="395"/>
        <v>9.626176</v>
      </c>
      <c r="F941" s="205">
        <v>9.626176</v>
      </c>
      <c r="G941" s="205"/>
      <c r="H941" s="205"/>
      <c r="I941" s="204">
        <f t="shared" si="396"/>
        <v>0</v>
      </c>
      <c r="J941" s="212"/>
      <c r="K941" s="205"/>
      <c r="L941" s="205"/>
      <c r="M941" s="213"/>
      <c r="N941" s="176">
        <f t="shared" si="393"/>
        <v>9.626176</v>
      </c>
    </row>
    <row r="942" ht="36" hidden="1" spans="1:14">
      <c r="A942" s="202"/>
      <c r="B942" s="203"/>
      <c r="C942" s="203" t="s">
        <v>566</v>
      </c>
      <c r="D942" s="200">
        <f t="shared" si="394"/>
        <v>12.20928</v>
      </c>
      <c r="E942" s="204">
        <f t="shared" si="395"/>
        <v>12.20928</v>
      </c>
      <c r="F942" s="205">
        <v>12.20928</v>
      </c>
      <c r="G942" s="205"/>
      <c r="H942" s="205"/>
      <c r="I942" s="204">
        <f t="shared" si="396"/>
        <v>0</v>
      </c>
      <c r="J942" s="212"/>
      <c r="K942" s="205"/>
      <c r="L942" s="205"/>
      <c r="M942" s="213"/>
      <c r="N942" s="176">
        <f t="shared" si="393"/>
        <v>12.20928</v>
      </c>
    </row>
    <row r="943" ht="36" hidden="1" spans="1:14">
      <c r="A943" s="202"/>
      <c r="B943" s="203"/>
      <c r="C943" s="203" t="s">
        <v>566</v>
      </c>
      <c r="D943" s="200">
        <f t="shared" si="394"/>
        <v>2.923264</v>
      </c>
      <c r="E943" s="204">
        <f t="shared" si="395"/>
        <v>2.923264</v>
      </c>
      <c r="F943" s="205">
        <v>2.923264</v>
      </c>
      <c r="G943" s="205"/>
      <c r="H943" s="205"/>
      <c r="I943" s="204">
        <f t="shared" si="396"/>
        <v>0</v>
      </c>
      <c r="J943" s="212"/>
      <c r="K943" s="205"/>
      <c r="L943" s="205"/>
      <c r="M943" s="213"/>
      <c r="N943" s="176">
        <f t="shared" si="393"/>
        <v>2.923264</v>
      </c>
    </row>
    <row r="944" ht="36" hidden="1" spans="1:14">
      <c r="A944" s="202"/>
      <c r="B944" s="203"/>
      <c r="C944" s="203" t="s">
        <v>566</v>
      </c>
      <c r="D944" s="200">
        <f t="shared" si="394"/>
        <v>7.165952</v>
      </c>
      <c r="E944" s="204">
        <f t="shared" si="395"/>
        <v>7.165952</v>
      </c>
      <c r="F944" s="205">
        <v>7.165952</v>
      </c>
      <c r="G944" s="205"/>
      <c r="H944" s="205"/>
      <c r="I944" s="204">
        <f t="shared" si="396"/>
        <v>0</v>
      </c>
      <c r="J944" s="212"/>
      <c r="K944" s="205"/>
      <c r="L944" s="205"/>
      <c r="M944" s="213"/>
      <c r="N944" s="176">
        <f t="shared" si="393"/>
        <v>7.165952</v>
      </c>
    </row>
    <row r="945" ht="36" hidden="1" spans="1:14">
      <c r="A945" s="202"/>
      <c r="B945" s="203"/>
      <c r="C945" s="203" t="s">
        <v>566</v>
      </c>
      <c r="D945" s="200">
        <f t="shared" si="394"/>
        <v>10.709248</v>
      </c>
      <c r="E945" s="204">
        <f t="shared" si="395"/>
        <v>10.709248</v>
      </c>
      <c r="F945" s="205">
        <v>10.709248</v>
      </c>
      <c r="G945" s="205"/>
      <c r="H945" s="205"/>
      <c r="I945" s="204">
        <f t="shared" si="396"/>
        <v>0</v>
      </c>
      <c r="J945" s="212"/>
      <c r="K945" s="205"/>
      <c r="L945" s="205"/>
      <c r="M945" s="213"/>
      <c r="N945" s="176">
        <f t="shared" si="393"/>
        <v>10.709248</v>
      </c>
    </row>
    <row r="946" ht="36" hidden="1" spans="1:14">
      <c r="A946" s="202"/>
      <c r="B946" s="203"/>
      <c r="C946" s="203" t="s">
        <v>566</v>
      </c>
      <c r="D946" s="200">
        <f t="shared" si="394"/>
        <v>4.9968</v>
      </c>
      <c r="E946" s="204">
        <f t="shared" si="395"/>
        <v>4.9968</v>
      </c>
      <c r="F946" s="205">
        <v>4.9968</v>
      </c>
      <c r="G946" s="205"/>
      <c r="H946" s="205"/>
      <c r="I946" s="204">
        <f t="shared" si="396"/>
        <v>0</v>
      </c>
      <c r="J946" s="212"/>
      <c r="K946" s="205"/>
      <c r="L946" s="205"/>
      <c r="M946" s="213"/>
      <c r="N946" s="176">
        <f t="shared" si="393"/>
        <v>4.9968</v>
      </c>
    </row>
    <row r="947" ht="36" hidden="1" spans="1:14">
      <c r="A947" s="202"/>
      <c r="B947" s="203"/>
      <c r="C947" s="203" t="s">
        <v>566</v>
      </c>
      <c r="D947" s="200">
        <f t="shared" si="394"/>
        <v>4.305024</v>
      </c>
      <c r="E947" s="204">
        <f t="shared" si="395"/>
        <v>4.305024</v>
      </c>
      <c r="F947" s="205">
        <v>4.305024</v>
      </c>
      <c r="G947" s="205"/>
      <c r="H947" s="205"/>
      <c r="I947" s="204">
        <f t="shared" si="396"/>
        <v>0</v>
      </c>
      <c r="J947" s="212"/>
      <c r="K947" s="205"/>
      <c r="L947" s="205"/>
      <c r="M947" s="213"/>
      <c r="N947" s="176">
        <f t="shared" si="393"/>
        <v>4.305024</v>
      </c>
    </row>
    <row r="948" ht="36" hidden="1" spans="1:14">
      <c r="A948" s="202"/>
      <c r="B948" s="203"/>
      <c r="C948" s="203" t="s">
        <v>567</v>
      </c>
      <c r="D948" s="200">
        <f t="shared" si="394"/>
        <v>74.062131</v>
      </c>
      <c r="E948" s="204">
        <f t="shared" si="395"/>
        <v>74.062131</v>
      </c>
      <c r="F948" s="205">
        <v>74.062131</v>
      </c>
      <c r="G948" s="205"/>
      <c r="H948" s="205"/>
      <c r="I948" s="204">
        <f t="shared" si="396"/>
        <v>0</v>
      </c>
      <c r="J948" s="212"/>
      <c r="K948" s="205"/>
      <c r="L948" s="205"/>
      <c r="M948" s="213"/>
      <c r="N948" s="176">
        <f t="shared" si="393"/>
        <v>74.062131</v>
      </c>
    </row>
    <row r="949" ht="36" hidden="1" spans="1:14">
      <c r="A949" s="202"/>
      <c r="B949" s="203"/>
      <c r="C949" s="203" t="s">
        <v>567</v>
      </c>
      <c r="D949" s="200">
        <f t="shared" si="394"/>
        <v>5.530496</v>
      </c>
      <c r="E949" s="204">
        <f t="shared" si="395"/>
        <v>5.530496</v>
      </c>
      <c r="F949" s="205">
        <v>5.530496</v>
      </c>
      <c r="G949" s="205"/>
      <c r="H949" s="205"/>
      <c r="I949" s="204">
        <f t="shared" si="396"/>
        <v>0</v>
      </c>
      <c r="J949" s="212"/>
      <c r="K949" s="205"/>
      <c r="L949" s="205"/>
      <c r="M949" s="213"/>
      <c r="N949" s="176">
        <f t="shared" si="393"/>
        <v>5.530496</v>
      </c>
    </row>
    <row r="950" ht="36" hidden="1" spans="1:14">
      <c r="A950" s="202"/>
      <c r="B950" s="203"/>
      <c r="C950" s="203" t="s">
        <v>567</v>
      </c>
      <c r="D950" s="200">
        <f t="shared" si="394"/>
        <v>9.620416</v>
      </c>
      <c r="E950" s="204">
        <f t="shared" si="395"/>
        <v>9.620416</v>
      </c>
      <c r="F950" s="205">
        <v>9.620416</v>
      </c>
      <c r="G950" s="205"/>
      <c r="H950" s="205"/>
      <c r="I950" s="204">
        <f t="shared" si="396"/>
        <v>0</v>
      </c>
      <c r="J950" s="212"/>
      <c r="K950" s="205"/>
      <c r="L950" s="205"/>
      <c r="M950" s="213"/>
      <c r="N950" s="176">
        <f t="shared" si="393"/>
        <v>9.620416</v>
      </c>
    </row>
    <row r="951" ht="36" hidden="1" spans="1:14">
      <c r="A951" s="202"/>
      <c r="B951" s="203"/>
      <c r="C951" s="203" t="s">
        <v>567</v>
      </c>
      <c r="D951" s="200">
        <f t="shared" si="394"/>
        <v>3.019648</v>
      </c>
      <c r="E951" s="204">
        <f t="shared" si="395"/>
        <v>3.019648</v>
      </c>
      <c r="F951" s="205">
        <v>3.019648</v>
      </c>
      <c r="G951" s="205"/>
      <c r="H951" s="205"/>
      <c r="I951" s="204">
        <f t="shared" si="396"/>
        <v>0</v>
      </c>
      <c r="J951" s="212"/>
      <c r="K951" s="205"/>
      <c r="L951" s="205"/>
      <c r="M951" s="213"/>
      <c r="N951" s="176">
        <f t="shared" si="393"/>
        <v>3.019648</v>
      </c>
    </row>
    <row r="952" ht="36" hidden="1" spans="1:14">
      <c r="A952" s="202"/>
      <c r="B952" s="203"/>
      <c r="C952" s="203" t="s">
        <v>567</v>
      </c>
      <c r="D952" s="200">
        <f t="shared" si="394"/>
        <v>5.441408</v>
      </c>
      <c r="E952" s="204">
        <f t="shared" si="395"/>
        <v>5.441408</v>
      </c>
      <c r="F952" s="205">
        <v>5.441408</v>
      </c>
      <c r="G952" s="205"/>
      <c r="H952" s="205"/>
      <c r="I952" s="204">
        <f t="shared" si="396"/>
        <v>0</v>
      </c>
      <c r="J952" s="212"/>
      <c r="K952" s="205"/>
      <c r="L952" s="205"/>
      <c r="M952" s="213"/>
      <c r="N952" s="176">
        <f t="shared" si="393"/>
        <v>5.441408</v>
      </c>
    </row>
    <row r="953" ht="36" hidden="1" spans="1:14">
      <c r="A953" s="202"/>
      <c r="B953" s="203"/>
      <c r="C953" s="203" t="s">
        <v>567</v>
      </c>
      <c r="D953" s="200">
        <f t="shared" si="394"/>
        <v>4.465152</v>
      </c>
      <c r="E953" s="204">
        <f t="shared" si="395"/>
        <v>4.465152</v>
      </c>
      <c r="F953" s="205">
        <v>4.465152</v>
      </c>
      <c r="G953" s="205"/>
      <c r="H953" s="205"/>
      <c r="I953" s="204">
        <f t="shared" si="396"/>
        <v>0</v>
      </c>
      <c r="J953" s="212"/>
      <c r="K953" s="205"/>
      <c r="L953" s="205"/>
      <c r="M953" s="213"/>
      <c r="N953" s="176">
        <f t="shared" si="393"/>
        <v>4.465152</v>
      </c>
    </row>
    <row r="954" ht="36" hidden="1" spans="1:14">
      <c r="A954" s="202"/>
      <c r="B954" s="203"/>
      <c r="C954" s="203" t="s">
        <v>567</v>
      </c>
      <c r="D954" s="200">
        <f t="shared" si="394"/>
        <v>3.1696</v>
      </c>
      <c r="E954" s="204">
        <f t="shared" si="395"/>
        <v>3.1696</v>
      </c>
      <c r="F954" s="205">
        <v>3.1696</v>
      </c>
      <c r="G954" s="205"/>
      <c r="H954" s="205"/>
      <c r="I954" s="204">
        <f t="shared" si="396"/>
        <v>0</v>
      </c>
      <c r="J954" s="212"/>
      <c r="K954" s="205"/>
      <c r="L954" s="205"/>
      <c r="M954" s="213"/>
      <c r="N954" s="176">
        <f t="shared" si="393"/>
        <v>3.1696</v>
      </c>
    </row>
    <row r="955" ht="36" hidden="1" spans="1:14">
      <c r="A955" s="202"/>
      <c r="B955" s="203"/>
      <c r="C955" s="203" t="s">
        <v>567</v>
      </c>
      <c r="D955" s="200">
        <f t="shared" si="394"/>
        <v>16.68384</v>
      </c>
      <c r="E955" s="204">
        <f t="shared" si="395"/>
        <v>16.68384</v>
      </c>
      <c r="F955" s="205">
        <v>16.68384</v>
      </c>
      <c r="G955" s="205"/>
      <c r="H955" s="205"/>
      <c r="I955" s="204">
        <f t="shared" si="396"/>
        <v>0</v>
      </c>
      <c r="J955" s="212"/>
      <c r="K955" s="205"/>
      <c r="L955" s="205"/>
      <c r="M955" s="213"/>
      <c r="N955" s="176">
        <f t="shared" si="393"/>
        <v>16.68384</v>
      </c>
    </row>
    <row r="956" ht="36" hidden="1" spans="1:14">
      <c r="A956" s="202"/>
      <c r="B956" s="203"/>
      <c r="C956" s="203" t="s">
        <v>568</v>
      </c>
      <c r="D956" s="200">
        <f t="shared" si="394"/>
        <v>78.942163</v>
      </c>
      <c r="E956" s="204">
        <f t="shared" si="395"/>
        <v>78.942163</v>
      </c>
      <c r="F956" s="205">
        <v>78.942163</v>
      </c>
      <c r="G956" s="205"/>
      <c r="H956" s="205"/>
      <c r="I956" s="204">
        <f t="shared" si="396"/>
        <v>0</v>
      </c>
      <c r="J956" s="212"/>
      <c r="K956" s="205"/>
      <c r="L956" s="205"/>
      <c r="M956" s="213"/>
      <c r="N956" s="176">
        <f t="shared" ref="N956:N1019" si="397">J956+E956</f>
        <v>78.942163</v>
      </c>
    </row>
    <row r="957" ht="36" hidden="1" spans="1:14">
      <c r="A957" s="202"/>
      <c r="B957" s="203"/>
      <c r="C957" s="203" t="s">
        <v>568</v>
      </c>
      <c r="D957" s="200">
        <f t="shared" si="394"/>
        <v>9.815792</v>
      </c>
      <c r="E957" s="204">
        <f t="shared" si="395"/>
        <v>9.815792</v>
      </c>
      <c r="F957" s="205">
        <v>9.815792</v>
      </c>
      <c r="G957" s="205"/>
      <c r="H957" s="205"/>
      <c r="I957" s="204">
        <f t="shared" si="396"/>
        <v>0</v>
      </c>
      <c r="J957" s="212"/>
      <c r="K957" s="205"/>
      <c r="L957" s="205"/>
      <c r="M957" s="213"/>
      <c r="N957" s="176">
        <f t="shared" si="397"/>
        <v>9.815792</v>
      </c>
    </row>
    <row r="958" ht="36" hidden="1" spans="1:14">
      <c r="A958" s="202"/>
      <c r="B958" s="203"/>
      <c r="C958" s="203" t="s">
        <v>568</v>
      </c>
      <c r="D958" s="200">
        <f t="shared" si="394"/>
        <v>16.006656</v>
      </c>
      <c r="E958" s="204">
        <f t="shared" si="395"/>
        <v>16.006656</v>
      </c>
      <c r="F958" s="205">
        <v>16.006656</v>
      </c>
      <c r="G958" s="205"/>
      <c r="H958" s="205"/>
      <c r="I958" s="204">
        <f t="shared" si="396"/>
        <v>0</v>
      </c>
      <c r="J958" s="212"/>
      <c r="K958" s="205"/>
      <c r="L958" s="205"/>
      <c r="M958" s="213"/>
      <c r="N958" s="176">
        <f t="shared" si="397"/>
        <v>16.006656</v>
      </c>
    </row>
    <row r="959" ht="36" hidden="1" spans="1:14">
      <c r="A959" s="202"/>
      <c r="B959" s="203"/>
      <c r="C959" s="203" t="s">
        <v>568</v>
      </c>
      <c r="D959" s="200">
        <f t="shared" si="394"/>
        <v>2.719232</v>
      </c>
      <c r="E959" s="204">
        <f t="shared" si="395"/>
        <v>2.719232</v>
      </c>
      <c r="F959" s="205">
        <v>2.719232</v>
      </c>
      <c r="G959" s="205"/>
      <c r="H959" s="205"/>
      <c r="I959" s="204">
        <f t="shared" si="396"/>
        <v>0</v>
      </c>
      <c r="J959" s="212"/>
      <c r="K959" s="205"/>
      <c r="L959" s="205"/>
      <c r="M959" s="213"/>
      <c r="N959" s="176">
        <f t="shared" si="397"/>
        <v>2.719232</v>
      </c>
    </row>
    <row r="960" ht="36" hidden="1" spans="1:14">
      <c r="A960" s="202"/>
      <c r="B960" s="203"/>
      <c r="C960" s="203" t="s">
        <v>568</v>
      </c>
      <c r="D960" s="200">
        <f t="shared" si="394"/>
        <v>8.3408</v>
      </c>
      <c r="E960" s="204">
        <f t="shared" si="395"/>
        <v>8.3408</v>
      </c>
      <c r="F960" s="205">
        <v>8.3408</v>
      </c>
      <c r="G960" s="205"/>
      <c r="H960" s="205"/>
      <c r="I960" s="204">
        <f t="shared" si="396"/>
        <v>0</v>
      </c>
      <c r="J960" s="212"/>
      <c r="K960" s="205"/>
      <c r="L960" s="205"/>
      <c r="M960" s="213"/>
      <c r="N960" s="176">
        <f t="shared" si="397"/>
        <v>8.3408</v>
      </c>
    </row>
    <row r="961" ht="36" hidden="1" spans="1:14">
      <c r="A961" s="202"/>
      <c r="B961" s="203"/>
      <c r="C961" s="203" t="s">
        <v>568</v>
      </c>
      <c r="D961" s="200">
        <f t="shared" si="394"/>
        <v>4.277568</v>
      </c>
      <c r="E961" s="204">
        <f t="shared" si="395"/>
        <v>4.277568</v>
      </c>
      <c r="F961" s="205">
        <v>4.277568</v>
      </c>
      <c r="G961" s="205"/>
      <c r="H961" s="205"/>
      <c r="I961" s="204">
        <f t="shared" si="396"/>
        <v>0</v>
      </c>
      <c r="J961" s="212"/>
      <c r="K961" s="205"/>
      <c r="L961" s="205"/>
      <c r="M961" s="213"/>
      <c r="N961" s="176">
        <f t="shared" si="397"/>
        <v>4.277568</v>
      </c>
    </row>
    <row r="962" ht="36" hidden="1" spans="1:14">
      <c r="A962" s="202"/>
      <c r="B962" s="203"/>
      <c r="C962" s="203" t="s">
        <v>568</v>
      </c>
      <c r="D962" s="200">
        <f t="shared" si="394"/>
        <v>19.828224</v>
      </c>
      <c r="E962" s="204">
        <f t="shared" si="395"/>
        <v>19.828224</v>
      </c>
      <c r="F962" s="205">
        <v>19.828224</v>
      </c>
      <c r="G962" s="205"/>
      <c r="H962" s="205"/>
      <c r="I962" s="204">
        <f t="shared" si="396"/>
        <v>0</v>
      </c>
      <c r="J962" s="212"/>
      <c r="K962" s="205"/>
      <c r="L962" s="205"/>
      <c r="M962" s="213"/>
      <c r="N962" s="176">
        <f t="shared" si="397"/>
        <v>19.828224</v>
      </c>
    </row>
    <row r="963" ht="36" hidden="1" spans="1:14">
      <c r="A963" s="202"/>
      <c r="B963" s="203"/>
      <c r="C963" s="203" t="s">
        <v>569</v>
      </c>
      <c r="D963" s="200">
        <f t="shared" si="394"/>
        <v>59.85048</v>
      </c>
      <c r="E963" s="204">
        <f t="shared" si="395"/>
        <v>59.85048</v>
      </c>
      <c r="F963" s="205">
        <v>59.85048</v>
      </c>
      <c r="G963" s="205"/>
      <c r="H963" s="205"/>
      <c r="I963" s="204">
        <f t="shared" si="396"/>
        <v>0</v>
      </c>
      <c r="J963" s="212"/>
      <c r="K963" s="205"/>
      <c r="L963" s="205"/>
      <c r="M963" s="213"/>
      <c r="N963" s="176">
        <f t="shared" si="397"/>
        <v>59.85048</v>
      </c>
    </row>
    <row r="964" ht="36" hidden="1" spans="1:14">
      <c r="A964" s="202"/>
      <c r="B964" s="203"/>
      <c r="C964" s="203" t="s">
        <v>569</v>
      </c>
      <c r="D964" s="200">
        <f t="shared" si="394"/>
        <v>4.402256</v>
      </c>
      <c r="E964" s="204">
        <f t="shared" si="395"/>
        <v>4.402256</v>
      </c>
      <c r="F964" s="205">
        <v>4.402256</v>
      </c>
      <c r="G964" s="205"/>
      <c r="H964" s="205"/>
      <c r="I964" s="204">
        <f t="shared" si="396"/>
        <v>0</v>
      </c>
      <c r="J964" s="212"/>
      <c r="K964" s="205"/>
      <c r="L964" s="205"/>
      <c r="M964" s="213"/>
      <c r="N964" s="176">
        <f t="shared" si="397"/>
        <v>4.402256</v>
      </c>
    </row>
    <row r="965" ht="36" hidden="1" spans="1:14">
      <c r="A965" s="202"/>
      <c r="B965" s="203"/>
      <c r="C965" s="203" t="s">
        <v>569</v>
      </c>
      <c r="D965" s="200">
        <f t="shared" si="394"/>
        <v>5.278208</v>
      </c>
      <c r="E965" s="204">
        <f t="shared" si="395"/>
        <v>5.278208</v>
      </c>
      <c r="F965" s="205">
        <v>5.278208</v>
      </c>
      <c r="G965" s="205"/>
      <c r="H965" s="205"/>
      <c r="I965" s="204">
        <f t="shared" si="396"/>
        <v>0</v>
      </c>
      <c r="J965" s="212"/>
      <c r="K965" s="205"/>
      <c r="L965" s="205"/>
      <c r="M965" s="213"/>
      <c r="N965" s="176">
        <f t="shared" si="397"/>
        <v>5.278208</v>
      </c>
    </row>
    <row r="966" ht="36" hidden="1" spans="1:14">
      <c r="A966" s="202"/>
      <c r="B966" s="203"/>
      <c r="C966" s="203" t="s">
        <v>569</v>
      </c>
      <c r="D966" s="200">
        <f t="shared" si="394"/>
        <v>4.289856</v>
      </c>
      <c r="E966" s="204">
        <f t="shared" si="395"/>
        <v>4.289856</v>
      </c>
      <c r="F966" s="205">
        <v>4.289856</v>
      </c>
      <c r="G966" s="205"/>
      <c r="H966" s="205"/>
      <c r="I966" s="204">
        <f t="shared" si="396"/>
        <v>0</v>
      </c>
      <c r="J966" s="212"/>
      <c r="K966" s="205"/>
      <c r="L966" s="205"/>
      <c r="M966" s="213"/>
      <c r="N966" s="176">
        <f t="shared" si="397"/>
        <v>4.289856</v>
      </c>
    </row>
    <row r="967" ht="36" hidden="1" spans="1:14">
      <c r="A967" s="202"/>
      <c r="B967" s="203"/>
      <c r="C967" s="203" t="s">
        <v>569</v>
      </c>
      <c r="D967" s="200">
        <f t="shared" si="394"/>
        <v>9.115904</v>
      </c>
      <c r="E967" s="204">
        <f t="shared" si="395"/>
        <v>9.115904</v>
      </c>
      <c r="F967" s="205">
        <v>9.115904</v>
      </c>
      <c r="G967" s="205"/>
      <c r="H967" s="205"/>
      <c r="I967" s="204">
        <f t="shared" si="396"/>
        <v>0</v>
      </c>
      <c r="J967" s="212"/>
      <c r="K967" s="205"/>
      <c r="L967" s="205"/>
      <c r="M967" s="213"/>
      <c r="N967" s="176">
        <f t="shared" si="397"/>
        <v>9.115904</v>
      </c>
    </row>
    <row r="968" ht="36" hidden="1" spans="1:14">
      <c r="A968" s="202"/>
      <c r="B968" s="203"/>
      <c r="C968" s="203" t="s">
        <v>570</v>
      </c>
      <c r="D968" s="200">
        <f t="shared" si="394"/>
        <v>57.665808</v>
      </c>
      <c r="E968" s="204">
        <f t="shared" si="395"/>
        <v>57.665808</v>
      </c>
      <c r="F968" s="205">
        <v>57.665808</v>
      </c>
      <c r="G968" s="205"/>
      <c r="H968" s="205"/>
      <c r="I968" s="204">
        <f t="shared" si="396"/>
        <v>0</v>
      </c>
      <c r="J968" s="212"/>
      <c r="K968" s="205"/>
      <c r="L968" s="205"/>
      <c r="M968" s="213"/>
      <c r="N968" s="176">
        <f t="shared" si="397"/>
        <v>57.665808</v>
      </c>
    </row>
    <row r="969" ht="36" hidden="1" spans="1:14">
      <c r="A969" s="202"/>
      <c r="B969" s="203"/>
      <c r="C969" s="203" t="s">
        <v>570</v>
      </c>
      <c r="D969" s="200">
        <f t="shared" si="394"/>
        <v>5.637408</v>
      </c>
      <c r="E969" s="204">
        <f t="shared" si="395"/>
        <v>5.637408</v>
      </c>
      <c r="F969" s="205">
        <v>5.637408</v>
      </c>
      <c r="G969" s="205"/>
      <c r="H969" s="205"/>
      <c r="I969" s="204">
        <f t="shared" si="396"/>
        <v>0</v>
      </c>
      <c r="J969" s="212"/>
      <c r="K969" s="205"/>
      <c r="L969" s="205"/>
      <c r="M969" s="213"/>
      <c r="N969" s="176">
        <f t="shared" si="397"/>
        <v>5.637408</v>
      </c>
    </row>
    <row r="970" ht="36" hidden="1" spans="1:14">
      <c r="A970" s="202"/>
      <c r="B970" s="203"/>
      <c r="C970" s="203" t="s">
        <v>570</v>
      </c>
      <c r="D970" s="200">
        <f t="shared" si="394"/>
        <v>6.646336</v>
      </c>
      <c r="E970" s="204">
        <f t="shared" si="395"/>
        <v>6.646336</v>
      </c>
      <c r="F970" s="205">
        <v>6.646336</v>
      </c>
      <c r="G970" s="205"/>
      <c r="H970" s="205"/>
      <c r="I970" s="204">
        <f t="shared" si="396"/>
        <v>0</v>
      </c>
      <c r="J970" s="212"/>
      <c r="K970" s="205"/>
      <c r="L970" s="205"/>
      <c r="M970" s="213"/>
      <c r="N970" s="176">
        <f t="shared" si="397"/>
        <v>6.646336</v>
      </c>
    </row>
    <row r="971" ht="36" hidden="1" spans="1:14">
      <c r="A971" s="202"/>
      <c r="B971" s="203"/>
      <c r="C971" s="203" t="s">
        <v>570</v>
      </c>
      <c r="D971" s="200">
        <f t="shared" si="394"/>
        <v>2.771008</v>
      </c>
      <c r="E971" s="204">
        <f t="shared" si="395"/>
        <v>2.771008</v>
      </c>
      <c r="F971" s="205">
        <v>2.771008</v>
      </c>
      <c r="G971" s="205"/>
      <c r="H971" s="205"/>
      <c r="I971" s="204">
        <f t="shared" si="396"/>
        <v>0</v>
      </c>
      <c r="J971" s="212"/>
      <c r="K971" s="205"/>
      <c r="L971" s="205"/>
      <c r="M971" s="213"/>
      <c r="N971" s="176">
        <f t="shared" si="397"/>
        <v>2.771008</v>
      </c>
    </row>
    <row r="972" ht="36" hidden="1" spans="1:14">
      <c r="A972" s="202"/>
      <c r="B972" s="203"/>
      <c r="C972" s="203" t="s">
        <v>570</v>
      </c>
      <c r="D972" s="200">
        <f t="shared" si="394"/>
        <v>1.300544</v>
      </c>
      <c r="E972" s="204">
        <f t="shared" si="395"/>
        <v>1.300544</v>
      </c>
      <c r="F972" s="205">
        <v>1.300544</v>
      </c>
      <c r="G972" s="205"/>
      <c r="H972" s="205"/>
      <c r="I972" s="204">
        <f t="shared" si="396"/>
        <v>0</v>
      </c>
      <c r="J972" s="212"/>
      <c r="K972" s="205"/>
      <c r="L972" s="205"/>
      <c r="M972" s="213"/>
      <c r="N972" s="176">
        <f t="shared" si="397"/>
        <v>1.300544</v>
      </c>
    </row>
    <row r="973" ht="36" hidden="1" spans="1:14">
      <c r="A973" s="202"/>
      <c r="B973" s="203"/>
      <c r="C973" s="203" t="s">
        <v>570</v>
      </c>
      <c r="D973" s="200">
        <f t="shared" si="394"/>
        <v>1.291712</v>
      </c>
      <c r="E973" s="204">
        <f t="shared" si="395"/>
        <v>1.291712</v>
      </c>
      <c r="F973" s="205">
        <v>1.291712</v>
      </c>
      <c r="G973" s="205"/>
      <c r="H973" s="205"/>
      <c r="I973" s="204">
        <f t="shared" si="396"/>
        <v>0</v>
      </c>
      <c r="J973" s="212"/>
      <c r="K973" s="205"/>
      <c r="L973" s="205"/>
      <c r="M973" s="213"/>
      <c r="N973" s="176">
        <f t="shared" si="397"/>
        <v>1.291712</v>
      </c>
    </row>
    <row r="974" ht="36" hidden="1" spans="1:14">
      <c r="A974" s="202"/>
      <c r="B974" s="203"/>
      <c r="C974" s="203" t="s">
        <v>570</v>
      </c>
      <c r="D974" s="200">
        <f t="shared" si="394"/>
        <v>2.968576</v>
      </c>
      <c r="E974" s="204">
        <f t="shared" si="395"/>
        <v>2.968576</v>
      </c>
      <c r="F974" s="205">
        <v>2.968576</v>
      </c>
      <c r="G974" s="205"/>
      <c r="H974" s="205"/>
      <c r="I974" s="204">
        <f t="shared" si="396"/>
        <v>0</v>
      </c>
      <c r="J974" s="212"/>
      <c r="K974" s="205"/>
      <c r="L974" s="205"/>
      <c r="M974" s="213"/>
      <c r="N974" s="176">
        <f t="shared" si="397"/>
        <v>2.968576</v>
      </c>
    </row>
    <row r="975" ht="36" hidden="1" spans="1:14">
      <c r="A975" s="202"/>
      <c r="B975" s="203"/>
      <c r="C975" s="203" t="s">
        <v>570</v>
      </c>
      <c r="D975" s="200">
        <f t="shared" si="394"/>
        <v>10.891264</v>
      </c>
      <c r="E975" s="204">
        <f t="shared" si="395"/>
        <v>10.891264</v>
      </c>
      <c r="F975" s="205">
        <v>10.891264</v>
      </c>
      <c r="G975" s="205"/>
      <c r="H975" s="205"/>
      <c r="I975" s="204">
        <f t="shared" si="396"/>
        <v>0</v>
      </c>
      <c r="J975" s="212"/>
      <c r="K975" s="205"/>
      <c r="L975" s="205"/>
      <c r="M975" s="213"/>
      <c r="N975" s="176">
        <f t="shared" si="397"/>
        <v>10.891264</v>
      </c>
    </row>
    <row r="976" ht="36" hidden="1" spans="1:14">
      <c r="A976" s="202"/>
      <c r="B976" s="203"/>
      <c r="C976" s="203" t="s">
        <v>570</v>
      </c>
      <c r="D976" s="200">
        <f t="shared" si="394"/>
        <v>3.117952</v>
      </c>
      <c r="E976" s="204">
        <f t="shared" si="395"/>
        <v>3.117952</v>
      </c>
      <c r="F976" s="205">
        <v>3.117952</v>
      </c>
      <c r="G976" s="205"/>
      <c r="H976" s="205"/>
      <c r="I976" s="204">
        <f t="shared" si="396"/>
        <v>0</v>
      </c>
      <c r="J976" s="212"/>
      <c r="K976" s="205"/>
      <c r="L976" s="205"/>
      <c r="M976" s="213"/>
      <c r="N976" s="176">
        <f t="shared" si="397"/>
        <v>3.117952</v>
      </c>
    </row>
    <row r="977" ht="36" hidden="1" spans="1:14">
      <c r="A977" s="202"/>
      <c r="B977" s="203"/>
      <c r="C977" s="203" t="s">
        <v>571</v>
      </c>
      <c r="D977" s="200">
        <f t="shared" si="394"/>
        <v>42.621888</v>
      </c>
      <c r="E977" s="204">
        <f t="shared" si="395"/>
        <v>42.621888</v>
      </c>
      <c r="F977" s="205">
        <v>42.621888</v>
      </c>
      <c r="G977" s="205"/>
      <c r="H977" s="205"/>
      <c r="I977" s="204">
        <f t="shared" si="396"/>
        <v>0</v>
      </c>
      <c r="J977" s="212"/>
      <c r="K977" s="205"/>
      <c r="L977" s="205"/>
      <c r="M977" s="213"/>
      <c r="N977" s="176">
        <f t="shared" si="397"/>
        <v>42.621888</v>
      </c>
    </row>
    <row r="978" ht="36" hidden="1" spans="1:14">
      <c r="A978" s="202"/>
      <c r="B978" s="203"/>
      <c r="C978" s="203" t="s">
        <v>571</v>
      </c>
      <c r="D978" s="200">
        <f t="shared" si="394"/>
        <v>6.976192</v>
      </c>
      <c r="E978" s="204">
        <f t="shared" si="395"/>
        <v>6.976192</v>
      </c>
      <c r="F978" s="205">
        <v>6.976192</v>
      </c>
      <c r="G978" s="205"/>
      <c r="H978" s="205"/>
      <c r="I978" s="204">
        <f t="shared" si="396"/>
        <v>0</v>
      </c>
      <c r="J978" s="212"/>
      <c r="K978" s="205"/>
      <c r="L978" s="205"/>
      <c r="M978" s="213"/>
      <c r="N978" s="176">
        <f t="shared" si="397"/>
        <v>6.976192</v>
      </c>
    </row>
    <row r="979" ht="36" hidden="1" spans="1:14">
      <c r="A979" s="202"/>
      <c r="B979" s="203"/>
      <c r="C979" s="203" t="s">
        <v>571</v>
      </c>
      <c r="D979" s="200">
        <f t="shared" si="394"/>
        <v>6.409408</v>
      </c>
      <c r="E979" s="204">
        <f t="shared" si="395"/>
        <v>6.409408</v>
      </c>
      <c r="F979" s="205">
        <v>6.409408</v>
      </c>
      <c r="G979" s="205"/>
      <c r="H979" s="205"/>
      <c r="I979" s="204">
        <f t="shared" si="396"/>
        <v>0</v>
      </c>
      <c r="J979" s="212"/>
      <c r="K979" s="205"/>
      <c r="L979" s="205"/>
      <c r="M979" s="213"/>
      <c r="N979" s="176">
        <f t="shared" si="397"/>
        <v>6.409408</v>
      </c>
    </row>
    <row r="980" ht="36" hidden="1" spans="1:14">
      <c r="A980" s="202"/>
      <c r="B980" s="203"/>
      <c r="C980" s="203" t="s">
        <v>571</v>
      </c>
      <c r="D980" s="200">
        <f t="shared" si="394"/>
        <v>2.535424</v>
      </c>
      <c r="E980" s="204">
        <f t="shared" si="395"/>
        <v>2.535424</v>
      </c>
      <c r="F980" s="205">
        <v>2.535424</v>
      </c>
      <c r="G980" s="205"/>
      <c r="H980" s="205"/>
      <c r="I980" s="204">
        <f t="shared" si="396"/>
        <v>0</v>
      </c>
      <c r="J980" s="212"/>
      <c r="K980" s="205"/>
      <c r="L980" s="205"/>
      <c r="M980" s="213"/>
      <c r="N980" s="176">
        <f t="shared" si="397"/>
        <v>2.535424</v>
      </c>
    </row>
    <row r="981" ht="36" hidden="1" spans="1:14">
      <c r="A981" s="202"/>
      <c r="B981" s="203"/>
      <c r="C981" s="203" t="s">
        <v>571</v>
      </c>
      <c r="D981" s="200">
        <f t="shared" si="394"/>
        <v>2.802496</v>
      </c>
      <c r="E981" s="204">
        <f t="shared" si="395"/>
        <v>2.802496</v>
      </c>
      <c r="F981" s="205">
        <v>2.802496</v>
      </c>
      <c r="G981" s="205"/>
      <c r="H981" s="205"/>
      <c r="I981" s="204">
        <f t="shared" si="396"/>
        <v>0</v>
      </c>
      <c r="J981" s="212"/>
      <c r="K981" s="205"/>
      <c r="L981" s="205"/>
      <c r="M981" s="213"/>
      <c r="N981" s="176">
        <f t="shared" si="397"/>
        <v>2.802496</v>
      </c>
    </row>
    <row r="982" ht="36" hidden="1" spans="1:14">
      <c r="A982" s="202"/>
      <c r="B982" s="203"/>
      <c r="C982" s="203" t="s">
        <v>571</v>
      </c>
      <c r="D982" s="200">
        <f t="shared" ref="D982:D1011" si="398">E982+I982</f>
        <v>1.32128</v>
      </c>
      <c r="E982" s="204">
        <f t="shared" ref="E982:E1011" si="399">SUM(F982:H982)</f>
        <v>1.32128</v>
      </c>
      <c r="F982" s="205">
        <v>1.32128</v>
      </c>
      <c r="G982" s="205"/>
      <c r="H982" s="205"/>
      <c r="I982" s="204">
        <f t="shared" ref="I982:I1011" si="400">SUM(J982:L982)</f>
        <v>0</v>
      </c>
      <c r="J982" s="212"/>
      <c r="K982" s="205"/>
      <c r="L982" s="205"/>
      <c r="M982" s="213"/>
      <c r="N982" s="176">
        <f t="shared" si="397"/>
        <v>1.32128</v>
      </c>
    </row>
    <row r="983" ht="36" hidden="1" spans="1:14">
      <c r="A983" s="202"/>
      <c r="B983" s="203"/>
      <c r="C983" s="203" t="s">
        <v>571</v>
      </c>
      <c r="D983" s="200">
        <f t="shared" si="398"/>
        <v>5.810624</v>
      </c>
      <c r="E983" s="204">
        <f t="shared" si="399"/>
        <v>5.810624</v>
      </c>
      <c r="F983" s="205">
        <v>5.810624</v>
      </c>
      <c r="G983" s="205"/>
      <c r="H983" s="205"/>
      <c r="I983" s="204">
        <f t="shared" si="400"/>
        <v>0</v>
      </c>
      <c r="J983" s="212"/>
      <c r="K983" s="205"/>
      <c r="L983" s="205"/>
      <c r="M983" s="213"/>
      <c r="N983" s="176">
        <f t="shared" si="397"/>
        <v>5.810624</v>
      </c>
    </row>
    <row r="984" ht="36" hidden="1" spans="1:14">
      <c r="A984" s="202"/>
      <c r="B984" s="203"/>
      <c r="C984" s="203" t="s">
        <v>571</v>
      </c>
      <c r="D984" s="200">
        <f t="shared" si="398"/>
        <v>3.375424</v>
      </c>
      <c r="E984" s="204">
        <f t="shared" si="399"/>
        <v>3.375424</v>
      </c>
      <c r="F984" s="205">
        <v>3.375424</v>
      </c>
      <c r="G984" s="205"/>
      <c r="H984" s="205"/>
      <c r="I984" s="204">
        <f t="shared" si="400"/>
        <v>0</v>
      </c>
      <c r="J984" s="212"/>
      <c r="K984" s="205"/>
      <c r="L984" s="205"/>
      <c r="M984" s="213"/>
      <c r="N984" s="176">
        <f t="shared" si="397"/>
        <v>3.375424</v>
      </c>
    </row>
    <row r="985" ht="36" hidden="1" spans="1:14">
      <c r="A985" s="202"/>
      <c r="B985" s="203"/>
      <c r="C985" s="203" t="s">
        <v>572</v>
      </c>
      <c r="D985" s="200">
        <f t="shared" si="398"/>
        <v>58.385232</v>
      </c>
      <c r="E985" s="204">
        <f t="shared" si="399"/>
        <v>58.385232</v>
      </c>
      <c r="F985" s="205">
        <v>58.385232</v>
      </c>
      <c r="G985" s="205"/>
      <c r="H985" s="205"/>
      <c r="I985" s="204">
        <f t="shared" si="400"/>
        <v>0</v>
      </c>
      <c r="J985" s="212"/>
      <c r="K985" s="205"/>
      <c r="L985" s="205"/>
      <c r="M985" s="213"/>
      <c r="N985" s="176">
        <f t="shared" si="397"/>
        <v>58.385232</v>
      </c>
    </row>
    <row r="986" ht="36" hidden="1" spans="1:14">
      <c r="A986" s="202"/>
      <c r="B986" s="203"/>
      <c r="C986" s="203" t="s">
        <v>572</v>
      </c>
      <c r="D986" s="200">
        <f t="shared" si="398"/>
        <v>6.70536</v>
      </c>
      <c r="E986" s="204">
        <f t="shared" si="399"/>
        <v>6.70536</v>
      </c>
      <c r="F986" s="205">
        <v>6.70536</v>
      </c>
      <c r="G986" s="205"/>
      <c r="H986" s="205"/>
      <c r="I986" s="204">
        <f t="shared" si="400"/>
        <v>0</v>
      </c>
      <c r="J986" s="212"/>
      <c r="K986" s="205"/>
      <c r="L986" s="205"/>
      <c r="M986" s="213"/>
      <c r="N986" s="176">
        <f t="shared" si="397"/>
        <v>6.70536</v>
      </c>
    </row>
    <row r="987" ht="36" hidden="1" spans="1:14">
      <c r="A987" s="202"/>
      <c r="B987" s="203"/>
      <c r="C987" s="203" t="s">
        <v>572</v>
      </c>
      <c r="D987" s="200">
        <f t="shared" si="398"/>
        <v>15.0496</v>
      </c>
      <c r="E987" s="204">
        <f t="shared" si="399"/>
        <v>15.0496</v>
      </c>
      <c r="F987" s="205">
        <v>15.0496</v>
      </c>
      <c r="G987" s="205"/>
      <c r="H987" s="205"/>
      <c r="I987" s="204">
        <f t="shared" si="400"/>
        <v>0</v>
      </c>
      <c r="J987" s="212"/>
      <c r="K987" s="205"/>
      <c r="L987" s="205"/>
      <c r="M987" s="213"/>
      <c r="N987" s="176">
        <f t="shared" si="397"/>
        <v>15.0496</v>
      </c>
    </row>
    <row r="988" ht="36" hidden="1" spans="1:14">
      <c r="A988" s="202"/>
      <c r="B988" s="203"/>
      <c r="C988" s="203" t="s">
        <v>572</v>
      </c>
      <c r="D988" s="200">
        <f t="shared" si="398"/>
        <v>2.11</v>
      </c>
      <c r="E988" s="204">
        <f t="shared" si="399"/>
        <v>2.11</v>
      </c>
      <c r="F988" s="205">
        <v>2.11</v>
      </c>
      <c r="G988" s="205"/>
      <c r="H988" s="205"/>
      <c r="I988" s="204">
        <f t="shared" si="400"/>
        <v>0</v>
      </c>
      <c r="J988" s="212"/>
      <c r="K988" s="205"/>
      <c r="L988" s="205"/>
      <c r="M988" s="213"/>
      <c r="N988" s="176">
        <f t="shared" si="397"/>
        <v>2.11</v>
      </c>
    </row>
    <row r="989" ht="36" hidden="1" spans="1:14">
      <c r="A989" s="202"/>
      <c r="B989" s="203"/>
      <c r="C989" s="203" t="s">
        <v>572</v>
      </c>
      <c r="D989" s="200">
        <f t="shared" si="398"/>
        <v>2.986432</v>
      </c>
      <c r="E989" s="204">
        <f t="shared" si="399"/>
        <v>2.986432</v>
      </c>
      <c r="F989" s="205">
        <v>2.986432</v>
      </c>
      <c r="G989" s="205"/>
      <c r="H989" s="205"/>
      <c r="I989" s="204">
        <f t="shared" si="400"/>
        <v>0</v>
      </c>
      <c r="J989" s="212"/>
      <c r="K989" s="205"/>
      <c r="L989" s="205"/>
      <c r="M989" s="213"/>
      <c r="N989" s="176">
        <f t="shared" si="397"/>
        <v>2.986432</v>
      </c>
    </row>
    <row r="990" ht="36" hidden="1" spans="1:14">
      <c r="A990" s="202"/>
      <c r="B990" s="203"/>
      <c r="C990" s="203" t="s">
        <v>572</v>
      </c>
      <c r="D990" s="200">
        <f t="shared" si="398"/>
        <v>2.583424</v>
      </c>
      <c r="E990" s="204">
        <f t="shared" si="399"/>
        <v>2.583424</v>
      </c>
      <c r="F990" s="205">
        <v>2.583424</v>
      </c>
      <c r="G990" s="205"/>
      <c r="H990" s="205"/>
      <c r="I990" s="204">
        <f t="shared" si="400"/>
        <v>0</v>
      </c>
      <c r="J990" s="212"/>
      <c r="K990" s="205"/>
      <c r="L990" s="205"/>
      <c r="M990" s="213"/>
      <c r="N990" s="176">
        <f t="shared" si="397"/>
        <v>2.583424</v>
      </c>
    </row>
    <row r="991" ht="36" hidden="1" spans="1:14">
      <c r="A991" s="202"/>
      <c r="B991" s="203"/>
      <c r="C991" s="203" t="s">
        <v>572</v>
      </c>
      <c r="D991" s="200">
        <f t="shared" si="398"/>
        <v>4.286016</v>
      </c>
      <c r="E991" s="204">
        <f t="shared" si="399"/>
        <v>4.286016</v>
      </c>
      <c r="F991" s="205">
        <v>4.286016</v>
      </c>
      <c r="G991" s="205"/>
      <c r="H991" s="205"/>
      <c r="I991" s="204">
        <f t="shared" si="400"/>
        <v>0</v>
      </c>
      <c r="J991" s="212"/>
      <c r="K991" s="205"/>
      <c r="L991" s="205"/>
      <c r="M991" s="213"/>
      <c r="N991" s="176">
        <f t="shared" si="397"/>
        <v>4.286016</v>
      </c>
    </row>
    <row r="992" ht="36" hidden="1" spans="1:14">
      <c r="A992" s="202"/>
      <c r="B992" s="203"/>
      <c r="C992" s="203" t="s">
        <v>572</v>
      </c>
      <c r="D992" s="200">
        <f t="shared" si="398"/>
        <v>3.0544</v>
      </c>
      <c r="E992" s="204">
        <f t="shared" si="399"/>
        <v>3.0544</v>
      </c>
      <c r="F992" s="205">
        <v>3.0544</v>
      </c>
      <c r="G992" s="205"/>
      <c r="H992" s="205"/>
      <c r="I992" s="204">
        <f t="shared" si="400"/>
        <v>0</v>
      </c>
      <c r="J992" s="212"/>
      <c r="K992" s="205"/>
      <c r="L992" s="205"/>
      <c r="M992" s="213"/>
      <c r="N992" s="176">
        <f t="shared" si="397"/>
        <v>3.0544</v>
      </c>
    </row>
    <row r="993" ht="36" hidden="1" spans="1:14">
      <c r="A993" s="202"/>
      <c r="B993" s="203"/>
      <c r="C993" s="203" t="s">
        <v>572</v>
      </c>
      <c r="D993" s="200">
        <f t="shared" si="398"/>
        <v>15.620352</v>
      </c>
      <c r="E993" s="204">
        <f t="shared" si="399"/>
        <v>15.620352</v>
      </c>
      <c r="F993" s="205">
        <v>15.620352</v>
      </c>
      <c r="G993" s="205"/>
      <c r="H993" s="205"/>
      <c r="I993" s="204">
        <f t="shared" si="400"/>
        <v>0</v>
      </c>
      <c r="J993" s="212"/>
      <c r="K993" s="205"/>
      <c r="L993" s="205"/>
      <c r="M993" s="213"/>
      <c r="N993" s="176">
        <f t="shared" si="397"/>
        <v>15.620352</v>
      </c>
    </row>
    <row r="994" ht="36" hidden="1" spans="1:14">
      <c r="A994" s="202"/>
      <c r="B994" s="203"/>
      <c r="C994" s="203" t="s">
        <v>573</v>
      </c>
      <c r="D994" s="200">
        <f t="shared" si="398"/>
        <v>79.271549</v>
      </c>
      <c r="E994" s="204">
        <f t="shared" si="399"/>
        <v>79.271549</v>
      </c>
      <c r="F994" s="205">
        <v>79.271549</v>
      </c>
      <c r="G994" s="205"/>
      <c r="H994" s="205"/>
      <c r="I994" s="204">
        <f t="shared" si="400"/>
        <v>0</v>
      </c>
      <c r="J994" s="212"/>
      <c r="K994" s="205"/>
      <c r="L994" s="205"/>
      <c r="M994" s="213"/>
      <c r="N994" s="176">
        <f t="shared" si="397"/>
        <v>79.271549</v>
      </c>
    </row>
    <row r="995" ht="36" hidden="1" spans="1:14">
      <c r="A995" s="202"/>
      <c r="B995" s="203"/>
      <c r="C995" s="203" t="s">
        <v>573</v>
      </c>
      <c r="D995" s="200">
        <f t="shared" si="398"/>
        <v>1.33296</v>
      </c>
      <c r="E995" s="204">
        <f t="shared" si="399"/>
        <v>1.33296</v>
      </c>
      <c r="F995" s="205">
        <v>1.33296</v>
      </c>
      <c r="G995" s="205"/>
      <c r="H995" s="205"/>
      <c r="I995" s="204">
        <f t="shared" si="400"/>
        <v>0</v>
      </c>
      <c r="J995" s="212"/>
      <c r="K995" s="205"/>
      <c r="L995" s="205"/>
      <c r="M995" s="213"/>
      <c r="N995" s="176">
        <f t="shared" si="397"/>
        <v>1.33296</v>
      </c>
    </row>
    <row r="996" ht="36" hidden="1" spans="1:14">
      <c r="A996" s="202"/>
      <c r="B996" s="203"/>
      <c r="C996" s="203" t="s">
        <v>573</v>
      </c>
      <c r="D996" s="200">
        <f t="shared" si="398"/>
        <v>6.905984</v>
      </c>
      <c r="E996" s="204">
        <f t="shared" si="399"/>
        <v>6.905984</v>
      </c>
      <c r="F996" s="205">
        <v>6.905984</v>
      </c>
      <c r="G996" s="205"/>
      <c r="H996" s="205"/>
      <c r="I996" s="204">
        <f t="shared" si="400"/>
        <v>0</v>
      </c>
      <c r="J996" s="212"/>
      <c r="K996" s="205"/>
      <c r="L996" s="205"/>
      <c r="M996" s="213"/>
      <c r="N996" s="176">
        <f t="shared" si="397"/>
        <v>6.905984</v>
      </c>
    </row>
    <row r="997" ht="36" hidden="1" spans="1:14">
      <c r="A997" s="202"/>
      <c r="B997" s="203"/>
      <c r="C997" s="203" t="s">
        <v>573</v>
      </c>
      <c r="D997" s="200">
        <f t="shared" si="398"/>
        <v>1.236928</v>
      </c>
      <c r="E997" s="204">
        <f t="shared" si="399"/>
        <v>1.236928</v>
      </c>
      <c r="F997" s="205">
        <v>1.236928</v>
      </c>
      <c r="G997" s="205"/>
      <c r="H997" s="205"/>
      <c r="I997" s="204">
        <f t="shared" si="400"/>
        <v>0</v>
      </c>
      <c r="J997" s="212"/>
      <c r="K997" s="205"/>
      <c r="L997" s="205"/>
      <c r="M997" s="213"/>
      <c r="N997" s="176">
        <f t="shared" si="397"/>
        <v>1.236928</v>
      </c>
    </row>
    <row r="998" ht="36" hidden="1" spans="1:14">
      <c r="A998" s="202"/>
      <c r="B998" s="203"/>
      <c r="C998" s="203" t="s">
        <v>573</v>
      </c>
      <c r="D998" s="200">
        <f t="shared" si="398"/>
        <v>1.455424</v>
      </c>
      <c r="E998" s="204">
        <f t="shared" si="399"/>
        <v>1.455424</v>
      </c>
      <c r="F998" s="205">
        <v>1.455424</v>
      </c>
      <c r="G998" s="205"/>
      <c r="H998" s="205"/>
      <c r="I998" s="204">
        <f t="shared" si="400"/>
        <v>0</v>
      </c>
      <c r="J998" s="212"/>
      <c r="K998" s="205"/>
      <c r="L998" s="205"/>
      <c r="M998" s="213"/>
      <c r="N998" s="176">
        <f t="shared" si="397"/>
        <v>1.455424</v>
      </c>
    </row>
    <row r="999" ht="36" hidden="1" spans="1:14">
      <c r="A999" s="202"/>
      <c r="B999" s="203"/>
      <c r="C999" s="203" t="s">
        <v>573</v>
      </c>
      <c r="D999" s="200">
        <f t="shared" si="398"/>
        <v>10.532096</v>
      </c>
      <c r="E999" s="204">
        <f t="shared" si="399"/>
        <v>10.532096</v>
      </c>
      <c r="F999" s="205">
        <v>10.532096</v>
      </c>
      <c r="G999" s="205"/>
      <c r="H999" s="205"/>
      <c r="I999" s="204">
        <f t="shared" si="400"/>
        <v>0</v>
      </c>
      <c r="J999" s="212"/>
      <c r="K999" s="205"/>
      <c r="L999" s="205"/>
      <c r="M999" s="213"/>
      <c r="N999" s="176">
        <f t="shared" si="397"/>
        <v>10.532096</v>
      </c>
    </row>
    <row r="1000" ht="36" hidden="1" spans="1:14">
      <c r="A1000" s="202"/>
      <c r="B1000" s="203"/>
      <c r="C1000" s="203" t="s">
        <v>574</v>
      </c>
      <c r="D1000" s="200">
        <f t="shared" si="398"/>
        <v>13.334535</v>
      </c>
      <c r="E1000" s="204">
        <f t="shared" si="399"/>
        <v>13.334535</v>
      </c>
      <c r="F1000" s="205">
        <v>13.334535</v>
      </c>
      <c r="G1000" s="205"/>
      <c r="H1000" s="205"/>
      <c r="I1000" s="204">
        <f t="shared" si="400"/>
        <v>0</v>
      </c>
      <c r="J1000" s="212"/>
      <c r="K1000" s="205"/>
      <c r="L1000" s="205"/>
      <c r="M1000" s="213"/>
      <c r="N1000" s="176">
        <f t="shared" si="397"/>
        <v>13.334535</v>
      </c>
    </row>
    <row r="1001" ht="36" hidden="1" spans="1:14">
      <c r="A1001" s="202"/>
      <c r="B1001" s="203"/>
      <c r="C1001" s="203" t="s">
        <v>574</v>
      </c>
      <c r="D1001" s="200">
        <f t="shared" si="398"/>
        <v>5.716864</v>
      </c>
      <c r="E1001" s="204">
        <f t="shared" si="399"/>
        <v>5.716864</v>
      </c>
      <c r="F1001" s="205">
        <v>5.716864</v>
      </c>
      <c r="G1001" s="205"/>
      <c r="H1001" s="205"/>
      <c r="I1001" s="204">
        <f t="shared" si="400"/>
        <v>0</v>
      </c>
      <c r="J1001" s="212"/>
      <c r="K1001" s="205"/>
      <c r="L1001" s="205"/>
      <c r="M1001" s="213"/>
      <c r="N1001" s="176">
        <f t="shared" si="397"/>
        <v>5.716864</v>
      </c>
    </row>
    <row r="1002" ht="36" hidden="1" spans="1:14">
      <c r="A1002" s="202"/>
      <c r="B1002" s="203"/>
      <c r="C1002" s="203" t="s">
        <v>574</v>
      </c>
      <c r="D1002" s="200">
        <f t="shared" si="398"/>
        <v>6.460288</v>
      </c>
      <c r="E1002" s="204">
        <f t="shared" si="399"/>
        <v>6.460288</v>
      </c>
      <c r="F1002" s="205">
        <v>6.460288</v>
      </c>
      <c r="G1002" s="205"/>
      <c r="H1002" s="205"/>
      <c r="I1002" s="204">
        <f t="shared" si="400"/>
        <v>0</v>
      </c>
      <c r="J1002" s="212"/>
      <c r="K1002" s="205"/>
      <c r="L1002" s="205"/>
      <c r="M1002" s="213"/>
      <c r="N1002" s="176">
        <f t="shared" si="397"/>
        <v>6.460288</v>
      </c>
    </row>
    <row r="1003" ht="36" hidden="1" spans="1:14">
      <c r="A1003" s="202"/>
      <c r="B1003" s="203"/>
      <c r="C1003" s="203" t="s">
        <v>574</v>
      </c>
      <c r="D1003" s="200">
        <f t="shared" si="398"/>
        <v>10.189504</v>
      </c>
      <c r="E1003" s="204">
        <f t="shared" si="399"/>
        <v>10.189504</v>
      </c>
      <c r="F1003" s="205">
        <v>10.189504</v>
      </c>
      <c r="G1003" s="205"/>
      <c r="H1003" s="205"/>
      <c r="I1003" s="204">
        <f t="shared" si="400"/>
        <v>0</v>
      </c>
      <c r="J1003" s="212"/>
      <c r="K1003" s="205"/>
      <c r="L1003" s="205"/>
      <c r="M1003" s="213"/>
      <c r="N1003" s="176">
        <f t="shared" si="397"/>
        <v>10.189504</v>
      </c>
    </row>
    <row r="1004" ht="36" hidden="1" spans="1:14">
      <c r="A1004" s="202"/>
      <c r="B1004" s="203"/>
      <c r="C1004" s="203" t="s">
        <v>575</v>
      </c>
      <c r="D1004" s="200">
        <f t="shared" si="398"/>
        <v>73.824378</v>
      </c>
      <c r="E1004" s="204">
        <f t="shared" si="399"/>
        <v>73.824378</v>
      </c>
      <c r="F1004" s="205">
        <v>73.824378</v>
      </c>
      <c r="G1004" s="205"/>
      <c r="H1004" s="205"/>
      <c r="I1004" s="204">
        <f t="shared" si="400"/>
        <v>0</v>
      </c>
      <c r="J1004" s="212"/>
      <c r="K1004" s="205"/>
      <c r="L1004" s="205"/>
      <c r="M1004" s="213"/>
      <c r="N1004" s="176">
        <f t="shared" si="397"/>
        <v>73.824378</v>
      </c>
    </row>
    <row r="1005" ht="36" hidden="1" spans="1:14">
      <c r="A1005" s="202"/>
      <c r="B1005" s="203"/>
      <c r="C1005" s="203" t="s">
        <v>575</v>
      </c>
      <c r="D1005" s="200">
        <f t="shared" si="398"/>
        <v>9.187216</v>
      </c>
      <c r="E1005" s="204">
        <f t="shared" si="399"/>
        <v>9.187216</v>
      </c>
      <c r="F1005" s="205">
        <v>9.187216</v>
      </c>
      <c r="G1005" s="205"/>
      <c r="H1005" s="205"/>
      <c r="I1005" s="204">
        <f t="shared" si="400"/>
        <v>0</v>
      </c>
      <c r="J1005" s="212"/>
      <c r="K1005" s="205"/>
      <c r="L1005" s="205"/>
      <c r="M1005" s="213"/>
      <c r="N1005" s="176">
        <f t="shared" si="397"/>
        <v>9.187216</v>
      </c>
    </row>
    <row r="1006" ht="36" hidden="1" spans="1:14">
      <c r="A1006" s="202"/>
      <c r="B1006" s="203"/>
      <c r="C1006" s="203" t="s">
        <v>575</v>
      </c>
      <c r="D1006" s="200">
        <f t="shared" si="398"/>
        <v>18.713152</v>
      </c>
      <c r="E1006" s="204">
        <f t="shared" si="399"/>
        <v>18.713152</v>
      </c>
      <c r="F1006" s="205">
        <v>18.713152</v>
      </c>
      <c r="G1006" s="205"/>
      <c r="H1006" s="205"/>
      <c r="I1006" s="204">
        <f t="shared" si="400"/>
        <v>0</v>
      </c>
      <c r="J1006" s="212"/>
      <c r="K1006" s="205"/>
      <c r="L1006" s="205"/>
      <c r="M1006" s="213"/>
      <c r="N1006" s="176">
        <f t="shared" si="397"/>
        <v>18.713152</v>
      </c>
    </row>
    <row r="1007" ht="36" hidden="1" spans="1:14">
      <c r="A1007" s="202"/>
      <c r="B1007" s="203"/>
      <c r="C1007" s="203" t="s">
        <v>575</v>
      </c>
      <c r="D1007" s="200">
        <f t="shared" si="398"/>
        <v>3.835392</v>
      </c>
      <c r="E1007" s="204">
        <f t="shared" si="399"/>
        <v>3.835392</v>
      </c>
      <c r="F1007" s="205">
        <v>3.835392</v>
      </c>
      <c r="G1007" s="205"/>
      <c r="H1007" s="205"/>
      <c r="I1007" s="204">
        <f t="shared" si="400"/>
        <v>0</v>
      </c>
      <c r="J1007" s="212"/>
      <c r="K1007" s="205"/>
      <c r="L1007" s="205"/>
      <c r="M1007" s="213"/>
      <c r="N1007" s="176">
        <f t="shared" si="397"/>
        <v>3.835392</v>
      </c>
    </row>
    <row r="1008" ht="36" hidden="1" spans="1:14">
      <c r="A1008" s="202"/>
      <c r="B1008" s="203"/>
      <c r="C1008" s="203" t="s">
        <v>575</v>
      </c>
      <c r="D1008" s="200">
        <f t="shared" si="398"/>
        <v>5.434304</v>
      </c>
      <c r="E1008" s="204">
        <f t="shared" si="399"/>
        <v>5.434304</v>
      </c>
      <c r="F1008" s="205">
        <v>5.434304</v>
      </c>
      <c r="G1008" s="205"/>
      <c r="H1008" s="205"/>
      <c r="I1008" s="204">
        <f t="shared" si="400"/>
        <v>0</v>
      </c>
      <c r="J1008" s="212"/>
      <c r="K1008" s="205"/>
      <c r="L1008" s="205"/>
      <c r="M1008" s="213"/>
      <c r="N1008" s="176">
        <f t="shared" si="397"/>
        <v>5.434304</v>
      </c>
    </row>
    <row r="1009" ht="36" hidden="1" spans="1:14">
      <c r="A1009" s="202"/>
      <c r="B1009" s="203"/>
      <c r="C1009" s="203" t="s">
        <v>575</v>
      </c>
      <c r="D1009" s="200">
        <f t="shared" si="398"/>
        <v>2.80384</v>
      </c>
      <c r="E1009" s="204">
        <f t="shared" si="399"/>
        <v>2.80384</v>
      </c>
      <c r="F1009" s="205">
        <v>2.80384</v>
      </c>
      <c r="G1009" s="205"/>
      <c r="H1009" s="205"/>
      <c r="I1009" s="204">
        <f t="shared" si="400"/>
        <v>0</v>
      </c>
      <c r="J1009" s="212"/>
      <c r="K1009" s="205"/>
      <c r="L1009" s="205"/>
      <c r="M1009" s="213"/>
      <c r="N1009" s="176">
        <f t="shared" si="397"/>
        <v>2.80384</v>
      </c>
    </row>
    <row r="1010" ht="36" hidden="1" spans="1:14">
      <c r="A1010" s="202"/>
      <c r="B1010" s="203"/>
      <c r="C1010" s="203" t="s">
        <v>575</v>
      </c>
      <c r="D1010" s="200">
        <f t="shared" si="398"/>
        <v>17.700416</v>
      </c>
      <c r="E1010" s="204">
        <f t="shared" si="399"/>
        <v>17.700416</v>
      </c>
      <c r="F1010" s="205">
        <v>17.700416</v>
      </c>
      <c r="G1010" s="205"/>
      <c r="H1010" s="205"/>
      <c r="I1010" s="204">
        <f t="shared" si="400"/>
        <v>0</v>
      </c>
      <c r="J1010" s="212"/>
      <c r="K1010" s="205"/>
      <c r="L1010" s="205"/>
      <c r="M1010" s="213"/>
      <c r="N1010" s="176">
        <f t="shared" si="397"/>
        <v>17.700416</v>
      </c>
    </row>
    <row r="1011" hidden="1" spans="1:14">
      <c r="A1011" s="202"/>
      <c r="B1011" s="203"/>
      <c r="C1011" s="203" t="s">
        <v>375</v>
      </c>
      <c r="D1011" s="200">
        <f t="shared" si="398"/>
        <v>30.770544</v>
      </c>
      <c r="E1011" s="204">
        <f t="shared" si="399"/>
        <v>30.770544</v>
      </c>
      <c r="F1011" s="205">
        <v>30.770544</v>
      </c>
      <c r="G1011" s="205"/>
      <c r="H1011" s="205"/>
      <c r="I1011" s="204">
        <f t="shared" si="400"/>
        <v>0</v>
      </c>
      <c r="J1011" s="212"/>
      <c r="K1011" s="205"/>
      <c r="L1011" s="205"/>
      <c r="M1011" s="213"/>
      <c r="N1011" s="176">
        <f t="shared" si="397"/>
        <v>30.770544</v>
      </c>
    </row>
    <row r="1012" ht="36" spans="1:14">
      <c r="A1012" s="217">
        <v>2080507</v>
      </c>
      <c r="B1012" s="199" t="s">
        <v>960</v>
      </c>
      <c r="C1012" s="203"/>
      <c r="D1012" s="200">
        <f t="shared" ref="D1012:L1012" si="401">D1013</f>
        <v>3629</v>
      </c>
      <c r="E1012" s="200">
        <f t="shared" si="401"/>
        <v>1631</v>
      </c>
      <c r="F1012" s="200">
        <f t="shared" si="401"/>
        <v>1631</v>
      </c>
      <c r="G1012" s="200">
        <f t="shared" si="401"/>
        <v>0</v>
      </c>
      <c r="H1012" s="200">
        <f t="shared" si="401"/>
        <v>0</v>
      </c>
      <c r="I1012" s="200">
        <f t="shared" si="401"/>
        <v>1998</v>
      </c>
      <c r="J1012" s="200">
        <f t="shared" si="401"/>
        <v>0</v>
      </c>
      <c r="K1012" s="200">
        <f t="shared" si="401"/>
        <v>0</v>
      </c>
      <c r="L1012" s="200">
        <f t="shared" si="401"/>
        <v>1998</v>
      </c>
      <c r="M1012" s="213"/>
      <c r="N1012" s="176">
        <f t="shared" si="397"/>
        <v>1631</v>
      </c>
    </row>
    <row r="1013" ht="33" customHeight="1" spans="1:14">
      <c r="A1013" s="202"/>
      <c r="B1013" s="203"/>
      <c r="C1013" s="203"/>
      <c r="D1013" s="214">
        <f t="shared" ref="D1013:D1016" si="402">E1013+I1013</f>
        <v>3629</v>
      </c>
      <c r="E1013" s="205">
        <f t="shared" ref="E1013:E1016" si="403">SUM(F1013:H1013)</f>
        <v>1631</v>
      </c>
      <c r="F1013" s="205">
        <f>2031-400</f>
        <v>1631</v>
      </c>
      <c r="G1013" s="205"/>
      <c r="H1013" s="205"/>
      <c r="I1013" s="200">
        <f t="shared" ref="I1013:I1019" si="404">SUM(J1013:L1013)</f>
        <v>1998</v>
      </c>
      <c r="J1013" s="212"/>
      <c r="K1013" s="205"/>
      <c r="L1013" s="205">
        <v>1998</v>
      </c>
      <c r="M1013" s="213" t="s">
        <v>961</v>
      </c>
      <c r="N1013" s="176">
        <f t="shared" si="397"/>
        <v>1631</v>
      </c>
    </row>
    <row r="1014" ht="26.25" customHeight="1" spans="1:14">
      <c r="A1014" s="198" t="s">
        <v>962</v>
      </c>
      <c r="B1014" s="199" t="s">
        <v>963</v>
      </c>
      <c r="C1014" s="199"/>
      <c r="D1014" s="200">
        <f t="shared" ref="D1014:L1014" si="405">SUM(D1015:D1016)</f>
        <v>626.28</v>
      </c>
      <c r="E1014" s="200">
        <f t="shared" si="405"/>
        <v>621</v>
      </c>
      <c r="F1014" s="200">
        <f t="shared" si="405"/>
        <v>0</v>
      </c>
      <c r="G1014" s="200">
        <f t="shared" si="405"/>
        <v>0</v>
      </c>
      <c r="H1014" s="200">
        <f t="shared" si="405"/>
        <v>621</v>
      </c>
      <c r="I1014" s="200">
        <f t="shared" si="405"/>
        <v>5.28</v>
      </c>
      <c r="J1014" s="200">
        <f t="shared" si="405"/>
        <v>5.28</v>
      </c>
      <c r="K1014" s="200">
        <f t="shared" si="405"/>
        <v>0</v>
      </c>
      <c r="L1014" s="200">
        <f t="shared" si="405"/>
        <v>0</v>
      </c>
      <c r="M1014" s="211"/>
      <c r="N1014" s="176">
        <f t="shared" si="397"/>
        <v>626.28</v>
      </c>
    </row>
    <row r="1015" ht="30" customHeight="1" spans="1:14">
      <c r="A1015" s="202"/>
      <c r="B1015" s="203"/>
      <c r="C1015" s="203" t="s">
        <v>545</v>
      </c>
      <c r="D1015" s="200">
        <f t="shared" si="402"/>
        <v>5.28</v>
      </c>
      <c r="E1015" s="204">
        <f t="shared" si="403"/>
        <v>0</v>
      </c>
      <c r="F1015" s="205"/>
      <c r="G1015" s="205"/>
      <c r="H1015" s="205"/>
      <c r="I1015" s="204">
        <f t="shared" si="404"/>
        <v>5.28</v>
      </c>
      <c r="J1015" s="212">
        <v>5.28</v>
      </c>
      <c r="K1015" s="205"/>
      <c r="L1015" s="205"/>
      <c r="M1015" s="213" t="s">
        <v>964</v>
      </c>
      <c r="N1015" s="176">
        <f t="shared" si="397"/>
        <v>5.28</v>
      </c>
    </row>
    <row r="1016" ht="26.25" customHeight="1" spans="1:14">
      <c r="A1016" s="202"/>
      <c r="B1016" s="203"/>
      <c r="C1016" s="203" t="s">
        <v>545</v>
      </c>
      <c r="D1016" s="200">
        <f t="shared" si="402"/>
        <v>621</v>
      </c>
      <c r="E1016" s="204">
        <f t="shared" si="403"/>
        <v>621</v>
      </c>
      <c r="F1016" s="205"/>
      <c r="G1016" s="205"/>
      <c r="H1016" s="205">
        <v>621</v>
      </c>
      <c r="I1016" s="204"/>
      <c r="J1016" s="212"/>
      <c r="K1016" s="205"/>
      <c r="L1016" s="205"/>
      <c r="M1016" s="213" t="s">
        <v>965</v>
      </c>
      <c r="N1016" s="176">
        <f t="shared" si="397"/>
        <v>621</v>
      </c>
    </row>
    <row r="1017" ht="26.25" customHeight="1" spans="1:14">
      <c r="A1017" s="218">
        <v>20806</v>
      </c>
      <c r="B1017" s="199" t="s">
        <v>966</v>
      </c>
      <c r="C1017" s="203"/>
      <c r="D1017" s="200">
        <f t="shared" ref="D1017:L1017" si="406">D1018+D1019</f>
        <v>292</v>
      </c>
      <c r="E1017" s="200">
        <f t="shared" si="406"/>
        <v>40</v>
      </c>
      <c r="F1017" s="200">
        <f t="shared" si="406"/>
        <v>40</v>
      </c>
      <c r="G1017" s="200">
        <f t="shared" si="406"/>
        <v>0</v>
      </c>
      <c r="H1017" s="200">
        <f t="shared" si="406"/>
        <v>0</v>
      </c>
      <c r="I1017" s="200">
        <f t="shared" si="406"/>
        <v>252</v>
      </c>
      <c r="J1017" s="200">
        <f t="shared" si="406"/>
        <v>252</v>
      </c>
      <c r="K1017" s="200">
        <f t="shared" si="406"/>
        <v>0</v>
      </c>
      <c r="L1017" s="200">
        <f t="shared" si="406"/>
        <v>0</v>
      </c>
      <c r="M1017" s="213"/>
      <c r="N1017" s="176">
        <f t="shared" si="397"/>
        <v>292</v>
      </c>
    </row>
    <row r="1018" ht="26.25" customHeight="1" spans="1:14">
      <c r="A1018" s="217"/>
      <c r="B1018" s="199" t="s">
        <v>967</v>
      </c>
      <c r="C1018" s="203"/>
      <c r="D1018" s="200">
        <f t="shared" ref="D1018:D1021" si="407">E1018+I1018</f>
        <v>252</v>
      </c>
      <c r="E1018" s="204">
        <f t="shared" ref="E1018:E1021" si="408">SUM(F1018:H1018)</f>
        <v>0</v>
      </c>
      <c r="F1018" s="200">
        <f>F1022</f>
        <v>0</v>
      </c>
      <c r="G1018" s="200"/>
      <c r="H1018" s="200"/>
      <c r="I1018" s="204">
        <f t="shared" si="404"/>
        <v>252</v>
      </c>
      <c r="J1018" s="200">
        <v>252</v>
      </c>
      <c r="K1018" s="200"/>
      <c r="L1018" s="200"/>
      <c r="M1018" s="213" t="s">
        <v>968</v>
      </c>
      <c r="N1018" s="176">
        <f t="shared" si="397"/>
        <v>252</v>
      </c>
    </row>
    <row r="1019" ht="26.25" customHeight="1" spans="1:14">
      <c r="A1019" s="217">
        <v>2080699</v>
      </c>
      <c r="B1019" s="199" t="s">
        <v>969</v>
      </c>
      <c r="C1019" s="203"/>
      <c r="D1019" s="200">
        <f t="shared" si="407"/>
        <v>40</v>
      </c>
      <c r="E1019" s="204">
        <f t="shared" si="408"/>
        <v>40</v>
      </c>
      <c r="F1019" s="205">
        <v>40</v>
      </c>
      <c r="G1019" s="205"/>
      <c r="H1019" s="205"/>
      <c r="I1019" s="204">
        <f t="shared" si="404"/>
        <v>0</v>
      </c>
      <c r="J1019" s="212"/>
      <c r="K1019" s="205"/>
      <c r="L1019" s="205"/>
      <c r="M1019" s="213"/>
      <c r="N1019" s="176">
        <f t="shared" si="397"/>
        <v>40</v>
      </c>
    </row>
    <row r="1020" ht="26.25" customHeight="1" spans="1:14">
      <c r="A1020" s="217">
        <v>20807</v>
      </c>
      <c r="B1020" s="199" t="s">
        <v>970</v>
      </c>
      <c r="C1020" s="203"/>
      <c r="D1020" s="200">
        <f t="shared" ref="D1020:L1020" si="409">D1021</f>
        <v>1281</v>
      </c>
      <c r="E1020" s="200">
        <f t="shared" si="409"/>
        <v>0</v>
      </c>
      <c r="F1020" s="200">
        <f t="shared" si="409"/>
        <v>0</v>
      </c>
      <c r="G1020" s="200">
        <f t="shared" si="409"/>
        <v>0</v>
      </c>
      <c r="H1020" s="200">
        <f t="shared" si="409"/>
        <v>0</v>
      </c>
      <c r="I1020" s="200">
        <f t="shared" si="409"/>
        <v>1281</v>
      </c>
      <c r="J1020" s="200">
        <f t="shared" si="409"/>
        <v>0</v>
      </c>
      <c r="K1020" s="200">
        <f t="shared" si="409"/>
        <v>0</v>
      </c>
      <c r="L1020" s="200">
        <f t="shared" si="409"/>
        <v>1281</v>
      </c>
      <c r="M1020" s="213"/>
      <c r="N1020" s="176">
        <f t="shared" ref="N1020:N1083" si="410">J1020+E1020</f>
        <v>0</v>
      </c>
    </row>
    <row r="1021" ht="26.25" customHeight="1" spans="1:14">
      <c r="A1021" s="198">
        <v>2080799</v>
      </c>
      <c r="B1021" s="199" t="s">
        <v>971</v>
      </c>
      <c r="C1021" s="203"/>
      <c r="D1021" s="200">
        <f t="shared" si="407"/>
        <v>1281</v>
      </c>
      <c r="E1021" s="204">
        <f t="shared" si="408"/>
        <v>0</v>
      </c>
      <c r="F1021" s="205"/>
      <c r="G1021" s="205"/>
      <c r="H1021" s="205"/>
      <c r="I1021" s="204">
        <f t="shared" ref="I1021:I1026" si="411">SUM(J1021:L1021)</f>
        <v>1281</v>
      </c>
      <c r="J1021" s="212"/>
      <c r="K1021" s="205"/>
      <c r="L1021" s="205">
        <v>1281</v>
      </c>
      <c r="M1021" s="213"/>
      <c r="N1021" s="176">
        <f t="shared" si="410"/>
        <v>0</v>
      </c>
    </row>
    <row r="1022" ht="26.25" customHeight="1" spans="1:14">
      <c r="A1022" s="198" t="s">
        <v>972</v>
      </c>
      <c r="B1022" s="199" t="s">
        <v>973</v>
      </c>
      <c r="C1022" s="199"/>
      <c r="D1022" s="200">
        <f t="shared" ref="D1022:L1022" si="412">D1023+D1026</f>
        <v>1330.8319</v>
      </c>
      <c r="E1022" s="200">
        <f t="shared" si="412"/>
        <v>0</v>
      </c>
      <c r="F1022" s="200">
        <f t="shared" si="412"/>
        <v>0</v>
      </c>
      <c r="G1022" s="200">
        <f t="shared" si="412"/>
        <v>0</v>
      </c>
      <c r="H1022" s="200">
        <f t="shared" si="412"/>
        <v>0</v>
      </c>
      <c r="I1022" s="200">
        <f t="shared" si="412"/>
        <v>1330.8319</v>
      </c>
      <c r="J1022" s="200">
        <f t="shared" si="412"/>
        <v>370.07</v>
      </c>
      <c r="K1022" s="200">
        <f t="shared" si="412"/>
        <v>257.7819</v>
      </c>
      <c r="L1022" s="200">
        <f t="shared" si="412"/>
        <v>702.98</v>
      </c>
      <c r="M1022" s="211"/>
      <c r="N1022" s="176">
        <f t="shared" si="410"/>
        <v>370.07</v>
      </c>
    </row>
    <row r="1023" ht="26.25" customHeight="1" spans="1:14">
      <c r="A1023" s="183" t="s">
        <v>974</v>
      </c>
      <c r="B1023" s="199" t="s">
        <v>975</v>
      </c>
      <c r="C1023" s="199"/>
      <c r="D1023" s="200">
        <f t="shared" ref="D1023:L1023" si="413">D1024</f>
        <v>970.6719</v>
      </c>
      <c r="E1023" s="200">
        <f t="shared" si="413"/>
        <v>0</v>
      </c>
      <c r="F1023" s="200">
        <f t="shared" si="413"/>
        <v>0</v>
      </c>
      <c r="G1023" s="200">
        <f t="shared" si="413"/>
        <v>0</v>
      </c>
      <c r="H1023" s="200">
        <f t="shared" si="413"/>
        <v>0</v>
      </c>
      <c r="I1023" s="200">
        <f t="shared" si="413"/>
        <v>970.6719</v>
      </c>
      <c r="J1023" s="200">
        <f t="shared" si="413"/>
        <v>9.91</v>
      </c>
      <c r="K1023" s="200">
        <f t="shared" si="413"/>
        <v>257.7819</v>
      </c>
      <c r="L1023" s="200">
        <f t="shared" si="413"/>
        <v>702.98</v>
      </c>
      <c r="M1023" s="211"/>
      <c r="N1023" s="176">
        <f t="shared" si="410"/>
        <v>9.91</v>
      </c>
    </row>
    <row r="1024" ht="29" customHeight="1" spans="1:14">
      <c r="A1024" s="202"/>
      <c r="B1024" s="203"/>
      <c r="C1024" s="203" t="s">
        <v>547</v>
      </c>
      <c r="D1024" s="200">
        <f t="shared" ref="D1024:D1029" si="414">E1024+I1024</f>
        <v>970.6719</v>
      </c>
      <c r="E1024" s="204">
        <f t="shared" ref="E1024:E1029" si="415">SUM(F1024:H1024)</f>
        <v>0</v>
      </c>
      <c r="F1024" s="205"/>
      <c r="G1024" s="205"/>
      <c r="H1024" s="205"/>
      <c r="I1024" s="204">
        <f t="shared" si="411"/>
        <v>970.6719</v>
      </c>
      <c r="J1024" s="212">
        <v>9.91</v>
      </c>
      <c r="K1024" s="205">
        <f>256.8372+0.9447</f>
        <v>257.7819</v>
      </c>
      <c r="L1024" s="205">
        <v>702.98</v>
      </c>
      <c r="M1024" s="213" t="s">
        <v>976</v>
      </c>
      <c r="N1024" s="176">
        <f t="shared" si="410"/>
        <v>9.91</v>
      </c>
    </row>
    <row r="1025" ht="26.25" customHeight="1" spans="1:14">
      <c r="A1025" s="198" t="s">
        <v>977</v>
      </c>
      <c r="B1025" s="199" t="s">
        <v>978</v>
      </c>
      <c r="C1025" s="199"/>
      <c r="D1025" s="200">
        <f t="shared" ref="D1025:L1025" si="416">D1026</f>
        <v>360.16</v>
      </c>
      <c r="E1025" s="200">
        <f t="shared" si="416"/>
        <v>0</v>
      </c>
      <c r="F1025" s="200">
        <f t="shared" si="416"/>
        <v>0</v>
      </c>
      <c r="G1025" s="200">
        <f t="shared" si="416"/>
        <v>0</v>
      </c>
      <c r="H1025" s="200">
        <f t="shared" si="416"/>
        <v>0</v>
      </c>
      <c r="I1025" s="200">
        <f t="shared" si="416"/>
        <v>360.16</v>
      </c>
      <c r="J1025" s="200">
        <f t="shared" si="416"/>
        <v>360.16</v>
      </c>
      <c r="K1025" s="200">
        <f t="shared" si="416"/>
        <v>0</v>
      </c>
      <c r="L1025" s="200">
        <f t="shared" si="416"/>
        <v>0</v>
      </c>
      <c r="M1025" s="211"/>
      <c r="N1025" s="176">
        <f t="shared" si="410"/>
        <v>360.16</v>
      </c>
    </row>
    <row r="1026" ht="26.25" customHeight="1" spans="1:14">
      <c r="A1026" s="202"/>
      <c r="B1026" s="203"/>
      <c r="C1026" s="203" t="s">
        <v>547</v>
      </c>
      <c r="D1026" s="200">
        <f t="shared" si="414"/>
        <v>360.16</v>
      </c>
      <c r="E1026" s="204">
        <f t="shared" si="415"/>
        <v>0</v>
      </c>
      <c r="F1026" s="205"/>
      <c r="G1026" s="205"/>
      <c r="H1026" s="205"/>
      <c r="I1026" s="204">
        <f t="shared" si="411"/>
        <v>360.16</v>
      </c>
      <c r="J1026" s="212">
        <v>360.16</v>
      </c>
      <c r="K1026" s="205"/>
      <c r="L1026" s="205"/>
      <c r="M1026" s="213" t="s">
        <v>979</v>
      </c>
      <c r="N1026" s="176">
        <f t="shared" si="410"/>
        <v>360.16</v>
      </c>
    </row>
    <row r="1027" ht="26.25" customHeight="1" spans="1:14">
      <c r="A1027" s="198" t="s">
        <v>980</v>
      </c>
      <c r="B1027" s="199" t="s">
        <v>981</v>
      </c>
      <c r="C1027" s="199"/>
      <c r="D1027" s="200">
        <f t="shared" ref="D1027:L1027" si="417">D1028+D1030</f>
        <v>87.1133</v>
      </c>
      <c r="E1027" s="200">
        <f t="shared" si="417"/>
        <v>0</v>
      </c>
      <c r="F1027" s="200">
        <f t="shared" si="417"/>
        <v>0</v>
      </c>
      <c r="G1027" s="200">
        <f t="shared" si="417"/>
        <v>0</v>
      </c>
      <c r="H1027" s="200">
        <f t="shared" si="417"/>
        <v>0</v>
      </c>
      <c r="I1027" s="200">
        <f t="shared" si="417"/>
        <v>87.1133</v>
      </c>
      <c r="J1027" s="200">
        <f t="shared" si="417"/>
        <v>58.7</v>
      </c>
      <c r="K1027" s="200">
        <f t="shared" si="417"/>
        <v>28.4133</v>
      </c>
      <c r="L1027" s="200">
        <f t="shared" si="417"/>
        <v>0</v>
      </c>
      <c r="M1027" s="211"/>
      <c r="N1027" s="176">
        <f t="shared" si="410"/>
        <v>58.7</v>
      </c>
    </row>
    <row r="1028" ht="26.25" customHeight="1" spans="1:14">
      <c r="A1028" s="198" t="s">
        <v>982</v>
      </c>
      <c r="B1028" s="199" t="s">
        <v>983</v>
      </c>
      <c r="C1028" s="199"/>
      <c r="D1028" s="200">
        <f t="shared" ref="D1028:L1028" si="418">D1029</f>
        <v>61.224</v>
      </c>
      <c r="E1028" s="200">
        <f t="shared" si="418"/>
        <v>0</v>
      </c>
      <c r="F1028" s="200">
        <f t="shared" si="418"/>
        <v>0</v>
      </c>
      <c r="G1028" s="200">
        <f t="shared" si="418"/>
        <v>0</v>
      </c>
      <c r="H1028" s="200">
        <f t="shared" si="418"/>
        <v>0</v>
      </c>
      <c r="I1028" s="200">
        <f t="shared" si="418"/>
        <v>61.224</v>
      </c>
      <c r="J1028" s="200">
        <f t="shared" si="418"/>
        <v>46.5</v>
      </c>
      <c r="K1028" s="200">
        <f t="shared" si="418"/>
        <v>14.724</v>
      </c>
      <c r="L1028" s="200">
        <f t="shared" si="418"/>
        <v>0</v>
      </c>
      <c r="M1028" s="211"/>
      <c r="N1028" s="176">
        <f t="shared" si="410"/>
        <v>46.5</v>
      </c>
    </row>
    <row r="1029" ht="26.25" customHeight="1" spans="1:14">
      <c r="A1029" s="202"/>
      <c r="B1029" s="203"/>
      <c r="C1029" s="203" t="s">
        <v>547</v>
      </c>
      <c r="D1029" s="200">
        <f t="shared" si="414"/>
        <v>61.224</v>
      </c>
      <c r="E1029" s="204">
        <f t="shared" si="415"/>
        <v>0</v>
      </c>
      <c r="F1029" s="205"/>
      <c r="G1029" s="205"/>
      <c r="H1029" s="205"/>
      <c r="I1029" s="204">
        <f t="shared" ref="I1029:I1034" si="419">SUM(J1029:L1029)</f>
        <v>61.224</v>
      </c>
      <c r="J1029" s="212">
        <v>46.5</v>
      </c>
      <c r="K1029" s="205">
        <f>13.42+0.04+1.264</f>
        <v>14.724</v>
      </c>
      <c r="L1029" s="205"/>
      <c r="M1029" s="213" t="s">
        <v>984</v>
      </c>
      <c r="N1029" s="176">
        <f t="shared" si="410"/>
        <v>46.5</v>
      </c>
    </row>
    <row r="1030" ht="26.25" customHeight="1" spans="1:14">
      <c r="A1030" s="198" t="s">
        <v>985</v>
      </c>
      <c r="B1030" s="199" t="s">
        <v>986</v>
      </c>
      <c r="C1030" s="199"/>
      <c r="D1030" s="200">
        <f t="shared" ref="D1030:L1030" si="420">D1031</f>
        <v>25.8893</v>
      </c>
      <c r="E1030" s="200">
        <f t="shared" si="420"/>
        <v>0</v>
      </c>
      <c r="F1030" s="200">
        <f t="shared" si="420"/>
        <v>0</v>
      </c>
      <c r="G1030" s="200">
        <f t="shared" si="420"/>
        <v>0</v>
      </c>
      <c r="H1030" s="200">
        <f t="shared" si="420"/>
        <v>0</v>
      </c>
      <c r="I1030" s="200">
        <f t="shared" si="420"/>
        <v>25.8893</v>
      </c>
      <c r="J1030" s="200">
        <f t="shared" si="420"/>
        <v>12.2</v>
      </c>
      <c r="K1030" s="200">
        <f t="shared" si="420"/>
        <v>13.6893</v>
      </c>
      <c r="L1030" s="200">
        <f t="shared" si="420"/>
        <v>0</v>
      </c>
      <c r="M1030" s="211"/>
      <c r="N1030" s="176">
        <f t="shared" si="410"/>
        <v>12.2</v>
      </c>
    </row>
    <row r="1031" ht="26.25" customHeight="1" spans="1:14">
      <c r="A1031" s="202"/>
      <c r="B1031" s="203"/>
      <c r="C1031" s="203" t="s">
        <v>547</v>
      </c>
      <c r="D1031" s="200">
        <f t="shared" ref="D1031:D1036" si="421">E1031+I1031</f>
        <v>25.8893</v>
      </c>
      <c r="E1031" s="204">
        <f t="shared" ref="E1031:E1036" si="422">SUM(F1031:H1031)</f>
        <v>0</v>
      </c>
      <c r="F1031" s="205"/>
      <c r="G1031" s="205"/>
      <c r="H1031" s="205"/>
      <c r="I1031" s="204">
        <f t="shared" si="419"/>
        <v>25.8893</v>
      </c>
      <c r="J1031" s="212">
        <v>12.2</v>
      </c>
      <c r="K1031" s="205">
        <f>0.7+6.77+6.2193</f>
        <v>13.6893</v>
      </c>
      <c r="L1031" s="205"/>
      <c r="M1031" s="213" t="s">
        <v>987</v>
      </c>
      <c r="N1031" s="176">
        <f t="shared" si="410"/>
        <v>12.2</v>
      </c>
    </row>
    <row r="1032" ht="26.25" customHeight="1" spans="1:14">
      <c r="A1032" s="198" t="s">
        <v>988</v>
      </c>
      <c r="B1032" s="199" t="s">
        <v>989</v>
      </c>
      <c r="C1032" s="199"/>
      <c r="D1032" s="200">
        <f t="shared" ref="D1032:L1032" si="423">D1033+D1035</f>
        <v>1676.495</v>
      </c>
      <c r="E1032" s="200">
        <f t="shared" si="423"/>
        <v>930</v>
      </c>
      <c r="F1032" s="200">
        <f t="shared" si="423"/>
        <v>0</v>
      </c>
      <c r="G1032" s="200">
        <f t="shared" si="423"/>
        <v>0</v>
      </c>
      <c r="H1032" s="200">
        <f t="shared" si="423"/>
        <v>930</v>
      </c>
      <c r="I1032" s="200">
        <f t="shared" si="423"/>
        <v>746.495</v>
      </c>
      <c r="J1032" s="200">
        <f t="shared" si="423"/>
        <v>41.46</v>
      </c>
      <c r="K1032" s="200">
        <f t="shared" si="423"/>
        <v>705.035</v>
      </c>
      <c r="L1032" s="200">
        <f t="shared" si="423"/>
        <v>0</v>
      </c>
      <c r="M1032" s="211"/>
      <c r="N1032" s="176">
        <f t="shared" si="410"/>
        <v>971.46</v>
      </c>
    </row>
    <row r="1033" ht="26.25" customHeight="1" spans="1:14">
      <c r="A1033" s="198" t="s">
        <v>990</v>
      </c>
      <c r="B1033" s="199" t="s">
        <v>991</v>
      </c>
      <c r="C1033" s="199"/>
      <c r="D1033" s="200">
        <f t="shared" ref="D1033:L1033" si="424">D1034</f>
        <v>746.495</v>
      </c>
      <c r="E1033" s="200">
        <f t="shared" si="424"/>
        <v>0</v>
      </c>
      <c r="F1033" s="200">
        <f t="shared" si="424"/>
        <v>0</v>
      </c>
      <c r="G1033" s="200">
        <f t="shared" si="424"/>
        <v>0</v>
      </c>
      <c r="H1033" s="200">
        <f t="shared" si="424"/>
        <v>0</v>
      </c>
      <c r="I1033" s="200">
        <f t="shared" si="424"/>
        <v>746.495</v>
      </c>
      <c r="J1033" s="200">
        <f t="shared" si="424"/>
        <v>41.46</v>
      </c>
      <c r="K1033" s="200">
        <f t="shared" si="424"/>
        <v>705.035</v>
      </c>
      <c r="L1033" s="200">
        <f t="shared" si="424"/>
        <v>0</v>
      </c>
      <c r="M1033" s="211"/>
      <c r="N1033" s="176">
        <f t="shared" si="410"/>
        <v>41.46</v>
      </c>
    </row>
    <row r="1034" ht="38" customHeight="1" spans="1:14">
      <c r="A1034" s="202"/>
      <c r="B1034" s="203"/>
      <c r="C1034" s="203" t="s">
        <v>543</v>
      </c>
      <c r="D1034" s="200">
        <f t="shared" si="421"/>
        <v>746.495</v>
      </c>
      <c r="E1034" s="204">
        <f t="shared" si="422"/>
        <v>0</v>
      </c>
      <c r="F1034" s="205"/>
      <c r="G1034" s="205"/>
      <c r="H1034" s="205"/>
      <c r="I1034" s="204">
        <f t="shared" si="419"/>
        <v>746.495</v>
      </c>
      <c r="J1034" s="212">
        <v>41.46</v>
      </c>
      <c r="K1034" s="205">
        <v>705.035</v>
      </c>
      <c r="L1034" s="205"/>
      <c r="M1034" s="213" t="s">
        <v>992</v>
      </c>
      <c r="N1034" s="176">
        <f t="shared" si="410"/>
        <v>41.46</v>
      </c>
    </row>
    <row r="1035" ht="26.25" customHeight="1" spans="1:14">
      <c r="A1035" s="198" t="s">
        <v>993</v>
      </c>
      <c r="B1035" s="199" t="s">
        <v>994</v>
      </c>
      <c r="C1035" s="199"/>
      <c r="D1035" s="200">
        <f t="shared" ref="D1035:L1035" si="425">D1036</f>
        <v>930</v>
      </c>
      <c r="E1035" s="200">
        <f t="shared" si="425"/>
        <v>930</v>
      </c>
      <c r="F1035" s="200">
        <f t="shared" si="425"/>
        <v>0</v>
      </c>
      <c r="G1035" s="200">
        <f t="shared" si="425"/>
        <v>0</v>
      </c>
      <c r="H1035" s="200">
        <f t="shared" si="425"/>
        <v>930</v>
      </c>
      <c r="I1035" s="200">
        <f t="shared" si="425"/>
        <v>0</v>
      </c>
      <c r="J1035" s="200">
        <f t="shared" si="425"/>
        <v>0</v>
      </c>
      <c r="K1035" s="200">
        <f t="shared" si="425"/>
        <v>0</v>
      </c>
      <c r="L1035" s="200">
        <f t="shared" si="425"/>
        <v>0</v>
      </c>
      <c r="M1035" s="211"/>
      <c r="N1035" s="176">
        <f t="shared" si="410"/>
        <v>930</v>
      </c>
    </row>
    <row r="1036" ht="26.25" customHeight="1" spans="1:14">
      <c r="A1036" s="202"/>
      <c r="B1036" s="203"/>
      <c r="C1036" s="203" t="s">
        <v>543</v>
      </c>
      <c r="D1036" s="200">
        <f t="shared" si="421"/>
        <v>930</v>
      </c>
      <c r="E1036" s="204">
        <f t="shared" si="422"/>
        <v>930</v>
      </c>
      <c r="F1036" s="205"/>
      <c r="G1036" s="205"/>
      <c r="H1036" s="205">
        <v>930</v>
      </c>
      <c r="I1036" s="204">
        <f t="shared" ref="I1036:I1041" si="426">SUM(J1036:L1036)</f>
        <v>0</v>
      </c>
      <c r="J1036" s="212"/>
      <c r="K1036" s="205"/>
      <c r="L1036" s="205"/>
      <c r="M1036" s="213"/>
      <c r="N1036" s="176">
        <f t="shared" si="410"/>
        <v>930</v>
      </c>
    </row>
    <row r="1037" ht="26.25" customHeight="1" spans="1:14">
      <c r="A1037" s="198" t="s">
        <v>995</v>
      </c>
      <c r="B1037" s="199" t="s">
        <v>996</v>
      </c>
      <c r="C1037" s="199"/>
      <c r="D1037" s="200">
        <f t="shared" ref="D1037:L1037" si="427">D1038+D1040+D1042+D1044+D1046</f>
        <v>561.947673</v>
      </c>
      <c r="E1037" s="200">
        <f t="shared" si="427"/>
        <v>90.847673</v>
      </c>
      <c r="F1037" s="200">
        <f t="shared" si="427"/>
        <v>77.528473</v>
      </c>
      <c r="G1037" s="200">
        <f t="shared" si="427"/>
        <v>8.32</v>
      </c>
      <c r="H1037" s="200">
        <f t="shared" si="427"/>
        <v>4.9992</v>
      </c>
      <c r="I1037" s="200">
        <f t="shared" si="427"/>
        <v>471.1</v>
      </c>
      <c r="J1037" s="200">
        <f t="shared" si="427"/>
        <v>188.9</v>
      </c>
      <c r="K1037" s="200">
        <f t="shared" si="427"/>
        <v>36.06</v>
      </c>
      <c r="L1037" s="200">
        <f t="shared" si="427"/>
        <v>246.14</v>
      </c>
      <c r="M1037" s="211"/>
      <c r="N1037" s="176">
        <f t="shared" si="410"/>
        <v>279.747673</v>
      </c>
    </row>
    <row r="1038" ht="26.25" customHeight="1" spans="1:14">
      <c r="A1038" s="198" t="s">
        <v>997</v>
      </c>
      <c r="B1038" s="199" t="s">
        <v>295</v>
      </c>
      <c r="C1038" s="199"/>
      <c r="D1038" s="200">
        <f t="shared" ref="D1038:L1038" si="428">D1039</f>
        <v>90.997673</v>
      </c>
      <c r="E1038" s="200">
        <f t="shared" si="428"/>
        <v>90.847673</v>
      </c>
      <c r="F1038" s="200">
        <f t="shared" si="428"/>
        <v>77.528473</v>
      </c>
      <c r="G1038" s="200">
        <f t="shared" si="428"/>
        <v>8.32</v>
      </c>
      <c r="H1038" s="200">
        <f t="shared" si="428"/>
        <v>4.9992</v>
      </c>
      <c r="I1038" s="200">
        <f t="shared" si="428"/>
        <v>0.15</v>
      </c>
      <c r="J1038" s="200">
        <f t="shared" si="428"/>
        <v>0.15</v>
      </c>
      <c r="K1038" s="200">
        <f t="shared" si="428"/>
        <v>0</v>
      </c>
      <c r="L1038" s="200">
        <f t="shared" si="428"/>
        <v>0</v>
      </c>
      <c r="M1038" s="211"/>
      <c r="N1038" s="176">
        <f t="shared" si="410"/>
        <v>90.997673</v>
      </c>
    </row>
    <row r="1039" ht="26.25" customHeight="1" spans="1:14">
      <c r="A1039" s="202"/>
      <c r="B1039" s="203"/>
      <c r="C1039" s="203" t="s">
        <v>546</v>
      </c>
      <c r="D1039" s="200">
        <f t="shared" ref="D1039:D1043" si="429">E1039+I1039</f>
        <v>90.997673</v>
      </c>
      <c r="E1039" s="204">
        <f t="shared" ref="E1039:E1043" si="430">SUM(F1039:H1039)</f>
        <v>90.847673</v>
      </c>
      <c r="F1039" s="205">
        <v>77.528473</v>
      </c>
      <c r="G1039" s="205">
        <v>8.32</v>
      </c>
      <c r="H1039" s="205">
        <v>4.9992</v>
      </c>
      <c r="I1039" s="204">
        <f t="shared" si="426"/>
        <v>0.15</v>
      </c>
      <c r="J1039" s="212">
        <v>0.15</v>
      </c>
      <c r="K1039" s="205"/>
      <c r="L1039" s="205"/>
      <c r="M1039" s="213" t="s">
        <v>998</v>
      </c>
      <c r="N1039" s="176">
        <f t="shared" si="410"/>
        <v>90.997673</v>
      </c>
    </row>
    <row r="1040" ht="26.25" customHeight="1" spans="1:14">
      <c r="A1040" s="198" t="s">
        <v>999</v>
      </c>
      <c r="B1040" s="199" t="s">
        <v>1000</v>
      </c>
      <c r="C1040" s="199"/>
      <c r="D1040" s="200">
        <f t="shared" ref="D1040:L1040" si="431">D1041</f>
        <v>154.24</v>
      </c>
      <c r="E1040" s="200">
        <f t="shared" si="431"/>
        <v>0</v>
      </c>
      <c r="F1040" s="200">
        <f t="shared" si="431"/>
        <v>0</v>
      </c>
      <c r="G1040" s="200">
        <f t="shared" si="431"/>
        <v>0</v>
      </c>
      <c r="H1040" s="200">
        <f t="shared" si="431"/>
        <v>0</v>
      </c>
      <c r="I1040" s="200">
        <f t="shared" si="431"/>
        <v>154.24</v>
      </c>
      <c r="J1040" s="200">
        <f t="shared" si="431"/>
        <v>25.84</v>
      </c>
      <c r="K1040" s="200">
        <f t="shared" si="431"/>
        <v>36</v>
      </c>
      <c r="L1040" s="200">
        <f t="shared" si="431"/>
        <v>92.4</v>
      </c>
      <c r="M1040" s="211"/>
      <c r="N1040" s="176">
        <f t="shared" si="410"/>
        <v>25.84</v>
      </c>
    </row>
    <row r="1041" ht="31" customHeight="1" spans="1:14">
      <c r="A1041" s="202"/>
      <c r="B1041" s="203"/>
      <c r="C1041" s="203" t="s">
        <v>546</v>
      </c>
      <c r="D1041" s="200">
        <f t="shared" si="429"/>
        <v>154.24</v>
      </c>
      <c r="E1041" s="204">
        <f t="shared" si="430"/>
        <v>0</v>
      </c>
      <c r="F1041" s="205"/>
      <c r="G1041" s="205"/>
      <c r="H1041" s="205"/>
      <c r="I1041" s="204">
        <f t="shared" si="426"/>
        <v>154.24</v>
      </c>
      <c r="J1041" s="212">
        <v>25.84</v>
      </c>
      <c r="K1041" s="205">
        <v>36</v>
      </c>
      <c r="L1041" s="205">
        <v>92.4</v>
      </c>
      <c r="M1041" s="213" t="s">
        <v>1001</v>
      </c>
      <c r="N1041" s="176">
        <f t="shared" si="410"/>
        <v>25.84</v>
      </c>
    </row>
    <row r="1042" ht="26.25" customHeight="1" spans="1:14">
      <c r="A1042" s="198" t="s">
        <v>1002</v>
      </c>
      <c r="B1042" s="199" t="s">
        <v>1003</v>
      </c>
      <c r="C1042" s="199"/>
      <c r="D1042" s="200">
        <f t="shared" ref="D1042:L1042" si="432">D1043</f>
        <v>170.65</v>
      </c>
      <c r="E1042" s="200">
        <f t="shared" si="432"/>
        <v>0</v>
      </c>
      <c r="F1042" s="200">
        <f t="shared" si="432"/>
        <v>0</v>
      </c>
      <c r="G1042" s="200">
        <f t="shared" si="432"/>
        <v>0</v>
      </c>
      <c r="H1042" s="200">
        <f t="shared" si="432"/>
        <v>0</v>
      </c>
      <c r="I1042" s="200">
        <f t="shared" si="432"/>
        <v>170.65</v>
      </c>
      <c r="J1042" s="200">
        <f t="shared" si="432"/>
        <v>44.19</v>
      </c>
      <c r="K1042" s="200">
        <f t="shared" si="432"/>
        <v>0</v>
      </c>
      <c r="L1042" s="200">
        <f t="shared" si="432"/>
        <v>126.46</v>
      </c>
      <c r="M1042" s="211"/>
      <c r="N1042" s="176">
        <f t="shared" si="410"/>
        <v>44.19</v>
      </c>
    </row>
    <row r="1043" ht="84" customHeight="1" spans="1:14">
      <c r="A1043" s="202"/>
      <c r="B1043" s="203"/>
      <c r="C1043" s="203" t="s">
        <v>546</v>
      </c>
      <c r="D1043" s="200">
        <f t="shared" si="429"/>
        <v>170.65</v>
      </c>
      <c r="E1043" s="204">
        <f t="shared" si="430"/>
        <v>0</v>
      </c>
      <c r="F1043" s="205"/>
      <c r="G1043" s="205"/>
      <c r="H1043" s="205"/>
      <c r="I1043" s="204">
        <f t="shared" ref="I1043:I1049" si="433">SUM(J1043:L1043)</f>
        <v>170.65</v>
      </c>
      <c r="J1043" s="212">
        <v>44.19</v>
      </c>
      <c r="K1043" s="205"/>
      <c r="L1043" s="205">
        <f>67.46+59</f>
        <v>126.46</v>
      </c>
      <c r="M1043" s="213" t="s">
        <v>1004</v>
      </c>
      <c r="N1043" s="176">
        <f t="shared" si="410"/>
        <v>44.19</v>
      </c>
    </row>
    <row r="1044" ht="26.25" customHeight="1" spans="1:14">
      <c r="A1044" s="198" t="s">
        <v>1005</v>
      </c>
      <c r="B1044" s="199" t="s">
        <v>1006</v>
      </c>
      <c r="C1044" s="199"/>
      <c r="D1044" s="200">
        <f t="shared" ref="D1044:L1044" si="434">D1045</f>
        <v>79.32</v>
      </c>
      <c r="E1044" s="200">
        <f t="shared" si="434"/>
        <v>0</v>
      </c>
      <c r="F1044" s="200">
        <f t="shared" si="434"/>
        <v>0</v>
      </c>
      <c r="G1044" s="200">
        <f t="shared" si="434"/>
        <v>0</v>
      </c>
      <c r="H1044" s="200">
        <f t="shared" si="434"/>
        <v>0</v>
      </c>
      <c r="I1044" s="200">
        <f t="shared" si="434"/>
        <v>79.32</v>
      </c>
      <c r="J1044" s="200">
        <f t="shared" si="434"/>
        <v>79.32</v>
      </c>
      <c r="K1044" s="200">
        <f t="shared" si="434"/>
        <v>0</v>
      </c>
      <c r="L1044" s="200">
        <f t="shared" si="434"/>
        <v>0</v>
      </c>
      <c r="M1044" s="211"/>
      <c r="N1044" s="176">
        <f t="shared" si="410"/>
        <v>79.32</v>
      </c>
    </row>
    <row r="1045" ht="26.25" customHeight="1" spans="1:14">
      <c r="A1045" s="202"/>
      <c r="B1045" s="203"/>
      <c r="C1045" s="203" t="s">
        <v>543</v>
      </c>
      <c r="D1045" s="200">
        <f t="shared" ref="D1045:D1049" si="435">E1045+I1045</f>
        <v>79.32</v>
      </c>
      <c r="E1045" s="204">
        <f t="shared" ref="E1045:E1049" si="436">SUM(F1045:H1045)</f>
        <v>0</v>
      </c>
      <c r="F1045" s="205"/>
      <c r="G1045" s="205"/>
      <c r="H1045" s="205"/>
      <c r="I1045" s="204">
        <f t="shared" si="433"/>
        <v>79.32</v>
      </c>
      <c r="J1045" s="212">
        <v>79.32</v>
      </c>
      <c r="K1045" s="205"/>
      <c r="L1045" s="205"/>
      <c r="M1045" s="213" t="s">
        <v>1007</v>
      </c>
      <c r="N1045" s="176">
        <f t="shared" si="410"/>
        <v>79.32</v>
      </c>
    </row>
    <row r="1046" ht="26.25" customHeight="1" spans="1:14">
      <c r="A1046" s="198" t="s">
        <v>1008</v>
      </c>
      <c r="B1046" s="199" t="s">
        <v>1009</v>
      </c>
      <c r="C1046" s="199"/>
      <c r="D1046" s="200">
        <f t="shared" ref="D1046:L1046" si="437">D1047</f>
        <v>66.74</v>
      </c>
      <c r="E1046" s="200">
        <f t="shared" si="437"/>
        <v>0</v>
      </c>
      <c r="F1046" s="200">
        <f t="shared" si="437"/>
        <v>0</v>
      </c>
      <c r="G1046" s="200">
        <f t="shared" si="437"/>
        <v>0</v>
      </c>
      <c r="H1046" s="200">
        <f t="shared" si="437"/>
        <v>0</v>
      </c>
      <c r="I1046" s="200">
        <f t="shared" si="437"/>
        <v>66.74</v>
      </c>
      <c r="J1046" s="200">
        <f t="shared" si="437"/>
        <v>39.4</v>
      </c>
      <c r="K1046" s="200">
        <f t="shared" si="437"/>
        <v>0.06</v>
      </c>
      <c r="L1046" s="200">
        <f t="shared" si="437"/>
        <v>27.28</v>
      </c>
      <c r="M1046" s="211"/>
      <c r="N1046" s="176">
        <f t="shared" si="410"/>
        <v>39.4</v>
      </c>
    </row>
    <row r="1047" ht="67" customHeight="1" spans="1:14">
      <c r="A1047" s="202"/>
      <c r="B1047" s="203"/>
      <c r="C1047" s="203" t="s">
        <v>546</v>
      </c>
      <c r="D1047" s="200">
        <f t="shared" si="435"/>
        <v>66.74</v>
      </c>
      <c r="E1047" s="204">
        <f t="shared" si="436"/>
        <v>0</v>
      </c>
      <c r="F1047" s="205"/>
      <c r="G1047" s="205"/>
      <c r="H1047" s="205"/>
      <c r="I1047" s="204">
        <f t="shared" si="433"/>
        <v>66.74</v>
      </c>
      <c r="J1047" s="212">
        <v>39.4</v>
      </c>
      <c r="K1047" s="205">
        <v>0.06</v>
      </c>
      <c r="L1047" s="205">
        <v>27.28</v>
      </c>
      <c r="M1047" s="213" t="s">
        <v>1010</v>
      </c>
      <c r="N1047" s="176">
        <f t="shared" si="410"/>
        <v>39.4</v>
      </c>
    </row>
    <row r="1048" ht="26.25" customHeight="1" spans="1:14">
      <c r="A1048" s="217">
        <v>2081699</v>
      </c>
      <c r="B1048" s="219" t="s">
        <v>1011</v>
      </c>
      <c r="C1048" s="203"/>
      <c r="D1048" s="200">
        <f t="shared" si="435"/>
        <v>16</v>
      </c>
      <c r="E1048" s="204">
        <f t="shared" si="436"/>
        <v>0</v>
      </c>
      <c r="F1048" s="205"/>
      <c r="G1048" s="205"/>
      <c r="H1048" s="205"/>
      <c r="I1048" s="204">
        <f t="shared" si="433"/>
        <v>16</v>
      </c>
      <c r="J1048" s="212"/>
      <c r="K1048" s="205"/>
      <c r="L1048" s="205">
        <v>16</v>
      </c>
      <c r="M1048" s="213" t="s">
        <v>1012</v>
      </c>
      <c r="N1048" s="176">
        <f t="shared" si="410"/>
        <v>0</v>
      </c>
    </row>
    <row r="1049" ht="26.25" customHeight="1" spans="1:14">
      <c r="A1049" s="217">
        <v>2081902</v>
      </c>
      <c r="B1049" s="220" t="s">
        <v>1013</v>
      </c>
      <c r="C1049" s="203"/>
      <c r="D1049" s="200">
        <f t="shared" si="435"/>
        <v>5961</v>
      </c>
      <c r="E1049" s="204">
        <f t="shared" si="436"/>
        <v>0</v>
      </c>
      <c r="F1049" s="205"/>
      <c r="G1049" s="205"/>
      <c r="H1049" s="205"/>
      <c r="I1049" s="204">
        <f t="shared" si="433"/>
        <v>5961</v>
      </c>
      <c r="J1049" s="212"/>
      <c r="K1049" s="205"/>
      <c r="L1049" s="205">
        <v>5961</v>
      </c>
      <c r="M1049" s="213" t="s">
        <v>1014</v>
      </c>
      <c r="N1049" s="176">
        <f t="shared" si="410"/>
        <v>0</v>
      </c>
    </row>
    <row r="1050" ht="26.25" customHeight="1" spans="1:14">
      <c r="A1050" s="198" t="s">
        <v>1015</v>
      </c>
      <c r="B1050" s="199" t="s">
        <v>1016</v>
      </c>
      <c r="C1050" s="199"/>
      <c r="D1050" s="200">
        <f t="shared" ref="D1050:L1050" si="438">D1051</f>
        <v>22</v>
      </c>
      <c r="E1050" s="200">
        <f t="shared" si="438"/>
        <v>0</v>
      </c>
      <c r="F1050" s="200">
        <f t="shared" si="438"/>
        <v>0</v>
      </c>
      <c r="G1050" s="200">
        <f t="shared" si="438"/>
        <v>0</v>
      </c>
      <c r="H1050" s="200">
        <f t="shared" si="438"/>
        <v>0</v>
      </c>
      <c r="I1050" s="200">
        <f t="shared" si="438"/>
        <v>22</v>
      </c>
      <c r="J1050" s="200">
        <f t="shared" si="438"/>
        <v>22</v>
      </c>
      <c r="K1050" s="200">
        <f t="shared" si="438"/>
        <v>0</v>
      </c>
      <c r="L1050" s="200">
        <f t="shared" si="438"/>
        <v>0</v>
      </c>
      <c r="M1050" s="211"/>
      <c r="N1050" s="176">
        <f t="shared" si="410"/>
        <v>22</v>
      </c>
    </row>
    <row r="1051" ht="26.25" customHeight="1" spans="1:14">
      <c r="A1051" s="198" t="s">
        <v>1017</v>
      </c>
      <c r="B1051" s="199" t="s">
        <v>1018</v>
      </c>
      <c r="C1051" s="199"/>
      <c r="D1051" s="200">
        <f t="shared" ref="D1051:L1051" si="439">D1052</f>
        <v>22</v>
      </c>
      <c r="E1051" s="200">
        <f t="shared" si="439"/>
        <v>0</v>
      </c>
      <c r="F1051" s="200">
        <f t="shared" si="439"/>
        <v>0</v>
      </c>
      <c r="G1051" s="200">
        <f t="shared" si="439"/>
        <v>0</v>
      </c>
      <c r="H1051" s="200">
        <f t="shared" si="439"/>
        <v>0</v>
      </c>
      <c r="I1051" s="200">
        <f t="shared" si="439"/>
        <v>22</v>
      </c>
      <c r="J1051" s="200">
        <f t="shared" si="439"/>
        <v>22</v>
      </c>
      <c r="K1051" s="200">
        <f t="shared" si="439"/>
        <v>0</v>
      </c>
      <c r="L1051" s="200">
        <f t="shared" si="439"/>
        <v>0</v>
      </c>
      <c r="M1051" s="211"/>
      <c r="N1051" s="176">
        <f t="shared" si="410"/>
        <v>22</v>
      </c>
    </row>
    <row r="1052" ht="26.25" customHeight="1" spans="1:14">
      <c r="A1052" s="202"/>
      <c r="B1052" s="203"/>
      <c r="C1052" s="203" t="s">
        <v>543</v>
      </c>
      <c r="D1052" s="200">
        <f>E1052+I1052</f>
        <v>22</v>
      </c>
      <c r="E1052" s="204">
        <f>SUM(F1052:H1052)</f>
        <v>0</v>
      </c>
      <c r="F1052" s="205"/>
      <c r="G1052" s="205"/>
      <c r="H1052" s="205"/>
      <c r="I1052" s="204">
        <f>SUM(J1052:L1052)</f>
        <v>22</v>
      </c>
      <c r="J1052" s="212">
        <v>22</v>
      </c>
      <c r="K1052" s="205"/>
      <c r="L1052" s="205"/>
      <c r="M1052" s="213" t="s">
        <v>1019</v>
      </c>
      <c r="N1052" s="176">
        <f t="shared" si="410"/>
        <v>22</v>
      </c>
    </row>
    <row r="1053" ht="26.25" customHeight="1" spans="1:14">
      <c r="A1053" s="198" t="s">
        <v>1020</v>
      </c>
      <c r="B1053" s="199" t="s">
        <v>1021</v>
      </c>
      <c r="C1053" s="199"/>
      <c r="D1053" s="200">
        <f t="shared" ref="D1053:L1053" si="440">D1054</f>
        <v>12.3</v>
      </c>
      <c r="E1053" s="200">
        <f t="shared" si="440"/>
        <v>12.3</v>
      </c>
      <c r="F1053" s="200">
        <f t="shared" si="440"/>
        <v>0</v>
      </c>
      <c r="G1053" s="200">
        <f t="shared" si="440"/>
        <v>0</v>
      </c>
      <c r="H1053" s="200">
        <f t="shared" si="440"/>
        <v>12.3</v>
      </c>
      <c r="I1053" s="200">
        <f t="shared" si="440"/>
        <v>0</v>
      </c>
      <c r="J1053" s="200">
        <f t="shared" si="440"/>
        <v>0</v>
      </c>
      <c r="K1053" s="200">
        <f t="shared" si="440"/>
        <v>0</v>
      </c>
      <c r="L1053" s="200">
        <f t="shared" si="440"/>
        <v>0</v>
      </c>
      <c r="M1053" s="211"/>
      <c r="N1053" s="176">
        <f t="shared" si="410"/>
        <v>12.3</v>
      </c>
    </row>
    <row r="1054" ht="26.25" customHeight="1" spans="1:14">
      <c r="A1054" s="198" t="s">
        <v>1022</v>
      </c>
      <c r="B1054" s="199" t="s">
        <v>1023</v>
      </c>
      <c r="C1054" s="199"/>
      <c r="D1054" s="200">
        <f t="shared" ref="D1054:L1054" si="441">D1055</f>
        <v>12.3</v>
      </c>
      <c r="E1054" s="200">
        <f t="shared" si="441"/>
        <v>12.3</v>
      </c>
      <c r="F1054" s="200">
        <f t="shared" si="441"/>
        <v>0</v>
      </c>
      <c r="G1054" s="200">
        <f t="shared" si="441"/>
        <v>0</v>
      </c>
      <c r="H1054" s="200">
        <f t="shared" si="441"/>
        <v>12.3</v>
      </c>
      <c r="I1054" s="200">
        <f t="shared" si="441"/>
        <v>0</v>
      </c>
      <c r="J1054" s="200">
        <f t="shared" si="441"/>
        <v>0</v>
      </c>
      <c r="K1054" s="200">
        <f t="shared" si="441"/>
        <v>0</v>
      </c>
      <c r="L1054" s="200">
        <f t="shared" si="441"/>
        <v>0</v>
      </c>
      <c r="M1054" s="211"/>
      <c r="N1054" s="176">
        <f t="shared" si="410"/>
        <v>12.3</v>
      </c>
    </row>
    <row r="1055" ht="26.25" customHeight="1" spans="1:14">
      <c r="A1055" s="202"/>
      <c r="B1055" s="203"/>
      <c r="C1055" s="203" t="s">
        <v>543</v>
      </c>
      <c r="D1055" s="200">
        <f>E1055+I1055</f>
        <v>12.3</v>
      </c>
      <c r="E1055" s="204">
        <f>SUM(F1055:H1055)</f>
        <v>12.3</v>
      </c>
      <c r="F1055" s="205"/>
      <c r="G1055" s="205"/>
      <c r="H1055" s="205">
        <v>12.3</v>
      </c>
      <c r="I1055" s="204">
        <f>SUM(J1055:L1055)</f>
        <v>0</v>
      </c>
      <c r="J1055" s="212"/>
      <c r="K1055" s="205"/>
      <c r="L1055" s="205"/>
      <c r="M1055" s="213"/>
      <c r="N1055" s="176">
        <f t="shared" si="410"/>
        <v>12.3</v>
      </c>
    </row>
    <row r="1056" ht="26.25" customHeight="1" spans="1:14">
      <c r="A1056" s="198" t="s">
        <v>1024</v>
      </c>
      <c r="B1056" s="199" t="s">
        <v>1025</v>
      </c>
      <c r="C1056" s="199"/>
      <c r="D1056" s="200">
        <f t="shared" ref="D1056:L1056" si="442">D1057</f>
        <v>7968.32</v>
      </c>
      <c r="E1056" s="200">
        <f t="shared" si="442"/>
        <v>0</v>
      </c>
      <c r="F1056" s="200">
        <f t="shared" si="442"/>
        <v>0</v>
      </c>
      <c r="G1056" s="200">
        <f t="shared" si="442"/>
        <v>0</v>
      </c>
      <c r="H1056" s="200">
        <f t="shared" si="442"/>
        <v>0</v>
      </c>
      <c r="I1056" s="200">
        <f t="shared" si="442"/>
        <v>7968.32</v>
      </c>
      <c r="J1056" s="200">
        <f t="shared" si="442"/>
        <v>562.32</v>
      </c>
      <c r="K1056" s="200">
        <f t="shared" si="442"/>
        <v>0</v>
      </c>
      <c r="L1056" s="200">
        <f t="shared" si="442"/>
        <v>7406</v>
      </c>
      <c r="M1056" s="211"/>
      <c r="N1056" s="176">
        <f t="shared" si="410"/>
        <v>562.32</v>
      </c>
    </row>
    <row r="1057" ht="26.25" customHeight="1" spans="1:14">
      <c r="A1057" s="198" t="s">
        <v>1026</v>
      </c>
      <c r="B1057" s="199" t="s">
        <v>1027</v>
      </c>
      <c r="C1057" s="199"/>
      <c r="D1057" s="200">
        <f t="shared" ref="D1057:L1057" si="443">D1058</f>
        <v>7968.32</v>
      </c>
      <c r="E1057" s="200">
        <f t="shared" si="443"/>
        <v>0</v>
      </c>
      <c r="F1057" s="200">
        <f t="shared" si="443"/>
        <v>0</v>
      </c>
      <c r="G1057" s="200">
        <f t="shared" si="443"/>
        <v>0</v>
      </c>
      <c r="H1057" s="200">
        <f t="shared" si="443"/>
        <v>0</v>
      </c>
      <c r="I1057" s="200">
        <f t="shared" si="443"/>
        <v>7968.32</v>
      </c>
      <c r="J1057" s="200">
        <f t="shared" si="443"/>
        <v>562.32</v>
      </c>
      <c r="K1057" s="200">
        <f t="shared" si="443"/>
        <v>0</v>
      </c>
      <c r="L1057" s="200">
        <f t="shared" si="443"/>
        <v>7406</v>
      </c>
      <c r="M1057" s="211"/>
      <c r="N1057" s="176">
        <f t="shared" si="410"/>
        <v>562.32</v>
      </c>
    </row>
    <row r="1058" ht="43" customHeight="1" spans="1:14">
      <c r="A1058" s="202"/>
      <c r="B1058" s="203"/>
      <c r="C1058" s="203" t="s">
        <v>545</v>
      </c>
      <c r="D1058" s="200">
        <f t="shared" ref="D1058:D1063" si="444">E1058+I1058</f>
        <v>7968.32</v>
      </c>
      <c r="E1058" s="204">
        <f t="shared" ref="E1058:E1063" si="445">SUM(F1058:H1058)</f>
        <v>0</v>
      </c>
      <c r="F1058" s="205"/>
      <c r="G1058" s="205"/>
      <c r="H1058" s="205"/>
      <c r="I1058" s="204">
        <f t="shared" ref="I1058:I1063" si="446">SUM(J1058:L1058)</f>
        <v>7968.32</v>
      </c>
      <c r="J1058" s="212">
        <v>562.32</v>
      </c>
      <c r="K1058" s="205"/>
      <c r="L1058" s="205">
        <f>4752+2654</f>
        <v>7406</v>
      </c>
      <c r="M1058" s="213" t="s">
        <v>1028</v>
      </c>
      <c r="N1058" s="176">
        <f t="shared" si="410"/>
        <v>562.32</v>
      </c>
    </row>
    <row r="1059" ht="26.25" customHeight="1" spans="1:14">
      <c r="A1059" s="198" t="s">
        <v>1029</v>
      </c>
      <c r="B1059" s="199" t="s">
        <v>1030</v>
      </c>
      <c r="C1059" s="199"/>
      <c r="D1059" s="200">
        <f t="shared" ref="D1059:L1059" si="447">D1060+D1062+D1064</f>
        <v>166.145201</v>
      </c>
      <c r="E1059" s="200">
        <f t="shared" si="447"/>
        <v>90.045201</v>
      </c>
      <c r="F1059" s="200">
        <f t="shared" si="447"/>
        <v>81.465201</v>
      </c>
      <c r="G1059" s="200">
        <f t="shared" si="447"/>
        <v>8.58</v>
      </c>
      <c r="H1059" s="200">
        <f t="shared" si="447"/>
        <v>0</v>
      </c>
      <c r="I1059" s="200">
        <f t="shared" si="447"/>
        <v>76.1</v>
      </c>
      <c r="J1059" s="200">
        <f t="shared" si="447"/>
        <v>69.74</v>
      </c>
      <c r="K1059" s="200">
        <f t="shared" si="447"/>
        <v>6.36</v>
      </c>
      <c r="L1059" s="200">
        <f t="shared" si="447"/>
        <v>0</v>
      </c>
      <c r="M1059" s="211"/>
      <c r="N1059" s="176">
        <f t="shared" si="410"/>
        <v>159.785201</v>
      </c>
    </row>
    <row r="1060" ht="26.25" customHeight="1" spans="1:14">
      <c r="A1060" s="198" t="s">
        <v>1031</v>
      </c>
      <c r="B1060" s="199" t="s">
        <v>295</v>
      </c>
      <c r="C1060" s="199"/>
      <c r="D1060" s="200">
        <f t="shared" ref="D1060:L1060" si="448">D1061</f>
        <v>90.145201</v>
      </c>
      <c r="E1060" s="200">
        <f t="shared" si="448"/>
        <v>90.045201</v>
      </c>
      <c r="F1060" s="200">
        <f t="shared" si="448"/>
        <v>81.465201</v>
      </c>
      <c r="G1060" s="200">
        <f t="shared" si="448"/>
        <v>8.58</v>
      </c>
      <c r="H1060" s="200">
        <f t="shared" si="448"/>
        <v>0</v>
      </c>
      <c r="I1060" s="200">
        <f t="shared" si="448"/>
        <v>0.1</v>
      </c>
      <c r="J1060" s="200">
        <f t="shared" si="448"/>
        <v>0.1</v>
      </c>
      <c r="K1060" s="200">
        <f t="shared" si="448"/>
        <v>0</v>
      </c>
      <c r="L1060" s="200">
        <f t="shared" si="448"/>
        <v>0</v>
      </c>
      <c r="M1060" s="211"/>
      <c r="N1060" s="176">
        <f t="shared" si="410"/>
        <v>90.145201</v>
      </c>
    </row>
    <row r="1061" ht="26.25" customHeight="1" spans="1:14">
      <c r="A1061" s="202"/>
      <c r="B1061" s="203"/>
      <c r="C1061" s="203" t="s">
        <v>547</v>
      </c>
      <c r="D1061" s="200">
        <f t="shared" si="444"/>
        <v>90.145201</v>
      </c>
      <c r="E1061" s="204">
        <f t="shared" si="445"/>
        <v>90.045201</v>
      </c>
      <c r="F1061" s="205">
        <v>81.465201</v>
      </c>
      <c r="G1061" s="205">
        <v>8.58</v>
      </c>
      <c r="H1061" s="205"/>
      <c r="I1061" s="204">
        <f t="shared" si="446"/>
        <v>0.1</v>
      </c>
      <c r="J1061" s="212">
        <v>0.1</v>
      </c>
      <c r="K1061" s="205"/>
      <c r="L1061" s="205"/>
      <c r="M1061" s="213" t="s">
        <v>1032</v>
      </c>
      <c r="N1061" s="176">
        <f t="shared" si="410"/>
        <v>90.145201</v>
      </c>
    </row>
    <row r="1062" ht="26.25" customHeight="1" spans="1:14">
      <c r="A1062" s="198" t="s">
        <v>1033</v>
      </c>
      <c r="B1062" s="199" t="s">
        <v>1034</v>
      </c>
      <c r="C1062" s="199"/>
      <c r="D1062" s="200">
        <f t="shared" ref="D1062:L1062" si="449">D1063</f>
        <v>46.36</v>
      </c>
      <c r="E1062" s="200">
        <f t="shared" si="449"/>
        <v>0</v>
      </c>
      <c r="F1062" s="200">
        <f t="shared" si="449"/>
        <v>0</v>
      </c>
      <c r="G1062" s="200">
        <f t="shared" si="449"/>
        <v>0</v>
      </c>
      <c r="H1062" s="200">
        <f t="shared" si="449"/>
        <v>0</v>
      </c>
      <c r="I1062" s="200">
        <f t="shared" si="449"/>
        <v>46.36</v>
      </c>
      <c r="J1062" s="200">
        <f t="shared" si="449"/>
        <v>40</v>
      </c>
      <c r="K1062" s="200">
        <f t="shared" si="449"/>
        <v>6.36</v>
      </c>
      <c r="L1062" s="200">
        <f t="shared" si="449"/>
        <v>0</v>
      </c>
      <c r="M1062" s="211"/>
      <c r="N1062" s="176">
        <f t="shared" si="410"/>
        <v>40</v>
      </c>
    </row>
    <row r="1063" ht="26.25" customHeight="1" spans="1:14">
      <c r="A1063" s="202"/>
      <c r="B1063" s="203"/>
      <c r="C1063" s="203" t="s">
        <v>547</v>
      </c>
      <c r="D1063" s="200">
        <f t="shared" si="444"/>
        <v>46.36</v>
      </c>
      <c r="E1063" s="204">
        <f t="shared" si="445"/>
        <v>0</v>
      </c>
      <c r="F1063" s="205"/>
      <c r="G1063" s="205"/>
      <c r="H1063" s="205"/>
      <c r="I1063" s="204">
        <f t="shared" si="446"/>
        <v>46.36</v>
      </c>
      <c r="J1063" s="212">
        <v>40</v>
      </c>
      <c r="K1063" s="205">
        <v>6.36</v>
      </c>
      <c r="L1063" s="205"/>
      <c r="M1063" s="213" t="s">
        <v>1035</v>
      </c>
      <c r="N1063" s="176">
        <f t="shared" si="410"/>
        <v>40</v>
      </c>
    </row>
    <row r="1064" ht="26.25" customHeight="1" spans="1:14">
      <c r="A1064" s="198" t="s">
        <v>1036</v>
      </c>
      <c r="B1064" s="199" t="s">
        <v>1037</v>
      </c>
      <c r="C1064" s="199"/>
      <c r="D1064" s="200">
        <f t="shared" ref="D1064:L1064" si="450">D1065</f>
        <v>29.64</v>
      </c>
      <c r="E1064" s="200">
        <f t="shared" si="450"/>
        <v>0</v>
      </c>
      <c r="F1064" s="200">
        <f t="shared" si="450"/>
        <v>0</v>
      </c>
      <c r="G1064" s="200">
        <f t="shared" si="450"/>
        <v>0</v>
      </c>
      <c r="H1064" s="200">
        <f t="shared" si="450"/>
        <v>0</v>
      </c>
      <c r="I1064" s="200">
        <f t="shared" si="450"/>
        <v>29.64</v>
      </c>
      <c r="J1064" s="200">
        <f t="shared" si="450"/>
        <v>29.64</v>
      </c>
      <c r="K1064" s="200">
        <f t="shared" si="450"/>
        <v>0</v>
      </c>
      <c r="L1064" s="200">
        <f t="shared" si="450"/>
        <v>0</v>
      </c>
      <c r="M1064" s="211"/>
      <c r="N1064" s="176">
        <f t="shared" si="410"/>
        <v>29.64</v>
      </c>
    </row>
    <row r="1065" ht="68" customHeight="1" spans="1:14">
      <c r="A1065" s="202"/>
      <c r="B1065" s="203"/>
      <c r="C1065" s="203" t="s">
        <v>547</v>
      </c>
      <c r="D1065" s="200">
        <f t="shared" ref="D1065:D1069" si="451">E1065+I1065</f>
        <v>29.64</v>
      </c>
      <c r="E1065" s="204">
        <f t="shared" ref="E1065:E1069" si="452">SUM(F1065:H1065)</f>
        <v>0</v>
      </c>
      <c r="F1065" s="205"/>
      <c r="G1065" s="205"/>
      <c r="H1065" s="205"/>
      <c r="I1065" s="204">
        <f t="shared" ref="I1065:I1069" si="453">SUM(J1065:L1065)</f>
        <v>29.64</v>
      </c>
      <c r="J1065" s="212">
        <v>29.64</v>
      </c>
      <c r="K1065" s="205"/>
      <c r="L1065" s="205"/>
      <c r="M1065" s="213" t="s">
        <v>1038</v>
      </c>
      <c r="N1065" s="176">
        <f t="shared" si="410"/>
        <v>29.64</v>
      </c>
    </row>
    <row r="1066" ht="26.25" customHeight="1" spans="1:14">
      <c r="A1066" s="198" t="s">
        <v>1039</v>
      </c>
      <c r="B1066" s="199" t="s">
        <v>1040</v>
      </c>
      <c r="C1066" s="199"/>
      <c r="D1066" s="200">
        <f t="shared" ref="D1066:L1066" si="454">D1067+D1069</f>
        <v>44.0762</v>
      </c>
      <c r="E1066" s="200">
        <f t="shared" si="454"/>
        <v>0</v>
      </c>
      <c r="F1066" s="200">
        <f t="shared" si="454"/>
        <v>0</v>
      </c>
      <c r="G1066" s="200">
        <f t="shared" si="454"/>
        <v>0</v>
      </c>
      <c r="H1066" s="200">
        <f t="shared" si="454"/>
        <v>0</v>
      </c>
      <c r="I1066" s="200">
        <f t="shared" si="454"/>
        <v>44.0762</v>
      </c>
      <c r="J1066" s="200">
        <f t="shared" si="454"/>
        <v>19.7</v>
      </c>
      <c r="K1066" s="200">
        <f t="shared" si="454"/>
        <v>11.3762</v>
      </c>
      <c r="L1066" s="200">
        <f t="shared" si="454"/>
        <v>13</v>
      </c>
      <c r="M1066" s="211"/>
      <c r="N1066" s="176">
        <f t="shared" si="410"/>
        <v>19.7</v>
      </c>
    </row>
    <row r="1067" ht="26.25" customHeight="1" spans="1:14">
      <c r="A1067" s="198" t="s">
        <v>1041</v>
      </c>
      <c r="B1067" s="199" t="s">
        <v>1042</v>
      </c>
      <c r="C1067" s="199"/>
      <c r="D1067" s="200">
        <f t="shared" ref="D1067:L1067" si="455">D1068</f>
        <v>19.7</v>
      </c>
      <c r="E1067" s="200">
        <f t="shared" si="455"/>
        <v>0</v>
      </c>
      <c r="F1067" s="200">
        <f t="shared" si="455"/>
        <v>0</v>
      </c>
      <c r="G1067" s="200">
        <f t="shared" si="455"/>
        <v>0</v>
      </c>
      <c r="H1067" s="200">
        <f t="shared" si="455"/>
        <v>0</v>
      </c>
      <c r="I1067" s="200">
        <f t="shared" si="455"/>
        <v>19.7</v>
      </c>
      <c r="J1067" s="200">
        <f t="shared" si="455"/>
        <v>19.7</v>
      </c>
      <c r="K1067" s="200">
        <f t="shared" si="455"/>
        <v>0</v>
      </c>
      <c r="L1067" s="200">
        <f t="shared" si="455"/>
        <v>0</v>
      </c>
      <c r="M1067" s="211"/>
      <c r="N1067" s="176">
        <f t="shared" si="410"/>
        <v>19.7</v>
      </c>
    </row>
    <row r="1068" ht="26.25" customHeight="1" spans="1:14">
      <c r="A1068" s="202"/>
      <c r="B1068" s="203"/>
      <c r="C1068" s="203" t="s">
        <v>545</v>
      </c>
      <c r="D1068" s="200">
        <f t="shared" si="451"/>
        <v>19.7</v>
      </c>
      <c r="E1068" s="204">
        <f t="shared" si="452"/>
        <v>0</v>
      </c>
      <c r="F1068" s="205"/>
      <c r="G1068" s="205"/>
      <c r="H1068" s="205"/>
      <c r="I1068" s="204">
        <f t="shared" si="453"/>
        <v>19.7</v>
      </c>
      <c r="J1068" s="212">
        <v>19.7</v>
      </c>
      <c r="K1068" s="205"/>
      <c r="L1068" s="205"/>
      <c r="M1068" s="213" t="s">
        <v>1043</v>
      </c>
      <c r="N1068" s="176">
        <f t="shared" si="410"/>
        <v>19.7</v>
      </c>
    </row>
    <row r="1069" ht="26.25" customHeight="1" spans="1:14">
      <c r="A1069" s="217">
        <v>2083099</v>
      </c>
      <c r="B1069" s="203" t="s">
        <v>1044</v>
      </c>
      <c r="C1069" s="203"/>
      <c r="D1069" s="200">
        <f t="shared" si="451"/>
        <v>24.3762</v>
      </c>
      <c r="E1069" s="204">
        <f t="shared" si="452"/>
        <v>0</v>
      </c>
      <c r="F1069" s="205"/>
      <c r="G1069" s="205"/>
      <c r="H1069" s="205"/>
      <c r="I1069" s="204">
        <f t="shared" si="453"/>
        <v>24.3762</v>
      </c>
      <c r="J1069" s="212"/>
      <c r="K1069" s="205">
        <v>11.3762</v>
      </c>
      <c r="L1069" s="205">
        <v>13</v>
      </c>
      <c r="M1069" s="213"/>
      <c r="N1069" s="176">
        <f t="shared" si="410"/>
        <v>0</v>
      </c>
    </row>
    <row r="1070" ht="26.25" customHeight="1" spans="1:14">
      <c r="A1070" s="198" t="s">
        <v>1045</v>
      </c>
      <c r="B1070" s="199" t="s">
        <v>1046</v>
      </c>
      <c r="C1070" s="199"/>
      <c r="D1070" s="200">
        <f t="shared" ref="D1070:L1070" si="456">D1071</f>
        <v>2596.6</v>
      </c>
      <c r="E1070" s="200">
        <f t="shared" si="456"/>
        <v>18.6</v>
      </c>
      <c r="F1070" s="200">
        <f t="shared" si="456"/>
        <v>0</v>
      </c>
      <c r="G1070" s="200">
        <f t="shared" si="456"/>
        <v>0</v>
      </c>
      <c r="H1070" s="200">
        <f t="shared" si="456"/>
        <v>18.6</v>
      </c>
      <c r="I1070" s="200">
        <f t="shared" si="456"/>
        <v>2578</v>
      </c>
      <c r="J1070" s="200">
        <f t="shared" si="456"/>
        <v>0</v>
      </c>
      <c r="K1070" s="200">
        <f t="shared" si="456"/>
        <v>0</v>
      </c>
      <c r="L1070" s="200">
        <f t="shared" si="456"/>
        <v>2578</v>
      </c>
      <c r="M1070" s="211"/>
      <c r="N1070" s="176">
        <f t="shared" si="410"/>
        <v>18.6</v>
      </c>
    </row>
    <row r="1071" ht="26.25" customHeight="1" spans="1:14">
      <c r="A1071" s="198" t="s">
        <v>1047</v>
      </c>
      <c r="B1071" s="199" t="s">
        <v>1046</v>
      </c>
      <c r="C1071" s="199"/>
      <c r="D1071" s="200">
        <f t="shared" ref="D1071:L1071" si="457">D1072</f>
        <v>2596.6</v>
      </c>
      <c r="E1071" s="200">
        <f t="shared" si="457"/>
        <v>18.6</v>
      </c>
      <c r="F1071" s="200">
        <f t="shared" si="457"/>
        <v>0</v>
      </c>
      <c r="G1071" s="200">
        <f t="shared" si="457"/>
        <v>0</v>
      </c>
      <c r="H1071" s="200">
        <f t="shared" si="457"/>
        <v>18.6</v>
      </c>
      <c r="I1071" s="200">
        <f t="shared" si="457"/>
        <v>2578</v>
      </c>
      <c r="J1071" s="200">
        <f t="shared" si="457"/>
        <v>0</v>
      </c>
      <c r="K1071" s="200">
        <f t="shared" si="457"/>
        <v>0</v>
      </c>
      <c r="L1071" s="200">
        <f t="shared" si="457"/>
        <v>2578</v>
      </c>
      <c r="M1071" s="211"/>
      <c r="N1071" s="176">
        <f t="shared" si="410"/>
        <v>18.6</v>
      </c>
    </row>
    <row r="1072" ht="26.25" customHeight="1" spans="1:14">
      <c r="A1072" s="202"/>
      <c r="B1072" s="203"/>
      <c r="C1072" s="203" t="s">
        <v>545</v>
      </c>
      <c r="D1072" s="200">
        <f t="shared" ref="D1072:D1076" si="458">E1072+I1072</f>
        <v>2596.6</v>
      </c>
      <c r="E1072" s="204">
        <f t="shared" ref="E1072:E1076" si="459">SUM(F1072:H1072)</f>
        <v>18.6</v>
      </c>
      <c r="F1072" s="205"/>
      <c r="G1072" s="205"/>
      <c r="H1072" s="205">
        <v>18.6</v>
      </c>
      <c r="I1072" s="204">
        <f t="shared" ref="I1072:I1076" si="460">SUM(J1072:L1072)</f>
        <v>2578</v>
      </c>
      <c r="J1072" s="212"/>
      <c r="K1072" s="205"/>
      <c r="L1072" s="205">
        <v>2578</v>
      </c>
      <c r="M1072" s="213" t="s">
        <v>1048</v>
      </c>
      <c r="N1072" s="176">
        <f t="shared" si="410"/>
        <v>18.6</v>
      </c>
    </row>
    <row r="1073" ht="26.25" customHeight="1" spans="1:14">
      <c r="A1073" s="198" t="s">
        <v>1049</v>
      </c>
      <c r="B1073" s="199" t="s">
        <v>1050</v>
      </c>
      <c r="C1073" s="199"/>
      <c r="D1073" s="200">
        <f t="shared" ref="D1073:L1073" si="461">D1074+D1079+D1082+D1098+D1113+D1120+D1124+D1129+D1136+D1111+D1127+D1139</f>
        <v>15905.318504</v>
      </c>
      <c r="E1073" s="200">
        <f t="shared" si="461"/>
        <v>6908.070504</v>
      </c>
      <c r="F1073" s="200">
        <f t="shared" si="461"/>
        <v>6308.827188</v>
      </c>
      <c r="G1073" s="200">
        <f t="shared" si="461"/>
        <v>115.847</v>
      </c>
      <c r="H1073" s="200">
        <f t="shared" si="461"/>
        <v>483.396316</v>
      </c>
      <c r="I1073" s="200">
        <f t="shared" si="461"/>
        <v>8997.248</v>
      </c>
      <c r="J1073" s="200">
        <f t="shared" si="461"/>
        <v>2082.629</v>
      </c>
      <c r="K1073" s="200">
        <f t="shared" si="461"/>
        <v>1725.959</v>
      </c>
      <c r="L1073" s="200">
        <f t="shared" si="461"/>
        <v>5188.66</v>
      </c>
      <c r="M1073" s="211"/>
      <c r="N1073" s="176">
        <f t="shared" si="410"/>
        <v>8990.699504</v>
      </c>
    </row>
    <row r="1074" ht="26.25" customHeight="1" spans="1:14">
      <c r="A1074" s="198" t="s">
        <v>1051</v>
      </c>
      <c r="B1074" s="199" t="s">
        <v>1052</v>
      </c>
      <c r="C1074" s="199"/>
      <c r="D1074" s="200">
        <f t="shared" si="458"/>
        <v>565.890672</v>
      </c>
      <c r="E1074" s="204">
        <f t="shared" si="459"/>
        <v>465.698672</v>
      </c>
      <c r="F1074" s="204">
        <v>397.945032</v>
      </c>
      <c r="G1074" s="204">
        <v>43.01</v>
      </c>
      <c r="H1074" s="204">
        <v>24.74364</v>
      </c>
      <c r="I1074" s="204">
        <f t="shared" si="460"/>
        <v>100.192</v>
      </c>
      <c r="J1074" s="216">
        <v>100.192</v>
      </c>
      <c r="K1074" s="204"/>
      <c r="L1074" s="204"/>
      <c r="M1074" s="211"/>
      <c r="N1074" s="176">
        <f t="shared" si="410"/>
        <v>565.890672</v>
      </c>
    </row>
    <row r="1075" ht="26.25" customHeight="1" spans="1:14">
      <c r="A1075" s="198" t="s">
        <v>1053</v>
      </c>
      <c r="B1075" s="199" t="s">
        <v>295</v>
      </c>
      <c r="C1075" s="199"/>
      <c r="D1075" s="200">
        <f t="shared" ref="D1075:L1075" si="462">D1076</f>
        <v>473.806864</v>
      </c>
      <c r="E1075" s="200">
        <f t="shared" si="462"/>
        <v>412.406864</v>
      </c>
      <c r="F1075" s="200">
        <f t="shared" si="462"/>
        <v>344.653224</v>
      </c>
      <c r="G1075" s="200">
        <f t="shared" si="462"/>
        <v>43.01</v>
      </c>
      <c r="H1075" s="200">
        <f t="shared" si="462"/>
        <v>24.74364</v>
      </c>
      <c r="I1075" s="200">
        <f t="shared" si="462"/>
        <v>61.4</v>
      </c>
      <c r="J1075" s="200">
        <f t="shared" si="462"/>
        <v>61.4</v>
      </c>
      <c r="K1075" s="200">
        <f t="shared" si="462"/>
        <v>0</v>
      </c>
      <c r="L1075" s="200">
        <f t="shared" si="462"/>
        <v>0</v>
      </c>
      <c r="M1075" s="211"/>
      <c r="N1075" s="176">
        <f t="shared" si="410"/>
        <v>473.806864</v>
      </c>
    </row>
    <row r="1076" ht="26.25" customHeight="1" spans="1:14">
      <c r="A1076" s="202"/>
      <c r="B1076" s="203"/>
      <c r="C1076" s="203" t="s">
        <v>544</v>
      </c>
      <c r="D1076" s="200">
        <f t="shared" si="458"/>
        <v>473.806864</v>
      </c>
      <c r="E1076" s="204">
        <f t="shared" si="459"/>
        <v>412.406864</v>
      </c>
      <c r="F1076" s="205">
        <v>344.653224</v>
      </c>
      <c r="G1076" s="205">
        <v>43.01</v>
      </c>
      <c r="H1076" s="205">
        <v>24.74364</v>
      </c>
      <c r="I1076" s="204">
        <f t="shared" si="460"/>
        <v>61.4</v>
      </c>
      <c r="J1076" s="212">
        <v>61.4</v>
      </c>
      <c r="K1076" s="205"/>
      <c r="L1076" s="205"/>
      <c r="M1076" s="213" t="s">
        <v>1054</v>
      </c>
      <c r="N1076" s="176">
        <f t="shared" si="410"/>
        <v>473.806864</v>
      </c>
    </row>
    <row r="1077" ht="26.25" customHeight="1" spans="1:14">
      <c r="A1077" s="198" t="s">
        <v>1055</v>
      </c>
      <c r="B1077" s="199" t="s">
        <v>1056</v>
      </c>
      <c r="C1077" s="199"/>
      <c r="D1077" s="200">
        <f t="shared" ref="D1077:L1077" si="463">D1078</f>
        <v>92.083808</v>
      </c>
      <c r="E1077" s="200">
        <f t="shared" si="463"/>
        <v>53.291808</v>
      </c>
      <c r="F1077" s="200">
        <f t="shared" si="463"/>
        <v>53.291808</v>
      </c>
      <c r="G1077" s="200">
        <f t="shared" si="463"/>
        <v>0</v>
      </c>
      <c r="H1077" s="200">
        <f t="shared" si="463"/>
        <v>0</v>
      </c>
      <c r="I1077" s="200">
        <f t="shared" si="463"/>
        <v>38.792</v>
      </c>
      <c r="J1077" s="200">
        <f t="shared" si="463"/>
        <v>38.792</v>
      </c>
      <c r="K1077" s="200">
        <f t="shared" si="463"/>
        <v>0</v>
      </c>
      <c r="L1077" s="200">
        <f t="shared" si="463"/>
        <v>0</v>
      </c>
      <c r="M1077" s="211"/>
      <c r="N1077" s="176">
        <f t="shared" si="410"/>
        <v>92.083808</v>
      </c>
    </row>
    <row r="1078" ht="39" customHeight="1" spans="1:14">
      <c r="A1078" s="202"/>
      <c r="B1078" s="203"/>
      <c r="C1078" s="203" t="s">
        <v>544</v>
      </c>
      <c r="D1078" s="200">
        <f>E1078+I1078</f>
        <v>92.083808</v>
      </c>
      <c r="E1078" s="204">
        <f>SUM(F1078:H1078)</f>
        <v>53.291808</v>
      </c>
      <c r="F1078" s="205">
        <v>53.291808</v>
      </c>
      <c r="G1078" s="205"/>
      <c r="H1078" s="205"/>
      <c r="I1078" s="204">
        <f>SUM(J1078:L1078)</f>
        <v>38.792</v>
      </c>
      <c r="J1078" s="212">
        <v>38.792</v>
      </c>
      <c r="K1078" s="205"/>
      <c r="L1078" s="205"/>
      <c r="M1078" s="213" t="s">
        <v>1057</v>
      </c>
      <c r="N1078" s="176">
        <f t="shared" si="410"/>
        <v>92.083808</v>
      </c>
    </row>
    <row r="1079" ht="26.25" customHeight="1" spans="1:14">
      <c r="A1079" s="198" t="s">
        <v>1058</v>
      </c>
      <c r="B1079" s="199" t="s">
        <v>1059</v>
      </c>
      <c r="C1079" s="199"/>
      <c r="D1079" s="200">
        <f t="shared" ref="D1079:L1079" si="464">D1080</f>
        <v>1344.037938</v>
      </c>
      <c r="E1079" s="200">
        <f t="shared" si="464"/>
        <v>782.367838</v>
      </c>
      <c r="F1079" s="200">
        <f t="shared" si="464"/>
        <v>730.990146</v>
      </c>
      <c r="G1079" s="200">
        <f t="shared" si="464"/>
        <v>0</v>
      </c>
      <c r="H1079" s="200">
        <f t="shared" si="464"/>
        <v>51.377692</v>
      </c>
      <c r="I1079" s="200">
        <f t="shared" si="464"/>
        <v>561.670100000001</v>
      </c>
      <c r="J1079" s="200">
        <f t="shared" si="464"/>
        <v>81.5218000000012</v>
      </c>
      <c r="K1079" s="200">
        <f t="shared" si="464"/>
        <v>480.1483</v>
      </c>
      <c r="L1079" s="200">
        <f t="shared" si="464"/>
        <v>0</v>
      </c>
      <c r="M1079" s="211"/>
      <c r="N1079" s="176">
        <f t="shared" si="410"/>
        <v>863.889638000001</v>
      </c>
    </row>
    <row r="1080" ht="26.25" customHeight="1" spans="1:14">
      <c r="A1080" s="198" t="s">
        <v>1060</v>
      </c>
      <c r="B1080" s="199" t="s">
        <v>1061</v>
      </c>
      <c r="C1080" s="199"/>
      <c r="D1080" s="200">
        <f t="shared" ref="D1080:L1080" si="465">D1081</f>
        <v>1344.037938</v>
      </c>
      <c r="E1080" s="200">
        <f t="shared" si="465"/>
        <v>782.367838</v>
      </c>
      <c r="F1080" s="200">
        <f t="shared" si="465"/>
        <v>730.990146</v>
      </c>
      <c r="G1080" s="200">
        <f t="shared" si="465"/>
        <v>0</v>
      </c>
      <c r="H1080" s="200">
        <f t="shared" si="465"/>
        <v>51.377692</v>
      </c>
      <c r="I1080" s="200">
        <f t="shared" si="465"/>
        <v>561.670100000001</v>
      </c>
      <c r="J1080" s="200">
        <f t="shared" si="465"/>
        <v>81.5218000000012</v>
      </c>
      <c r="K1080" s="200">
        <f t="shared" si="465"/>
        <v>480.1483</v>
      </c>
      <c r="L1080" s="200">
        <f t="shared" si="465"/>
        <v>0</v>
      </c>
      <c r="M1080" s="211"/>
      <c r="N1080" s="176">
        <f t="shared" si="410"/>
        <v>863.889638000001</v>
      </c>
    </row>
    <row r="1081" ht="34" customHeight="1" spans="1:14">
      <c r="A1081" s="202"/>
      <c r="B1081" s="203"/>
      <c r="C1081" s="203" t="s">
        <v>544</v>
      </c>
      <c r="D1081" s="200">
        <f t="shared" ref="D1081:D1095" si="466">E1081+I1081</f>
        <v>1344.037938</v>
      </c>
      <c r="E1081" s="204">
        <f t="shared" ref="E1081:E1095" si="467">SUM(F1081:H1081)</f>
        <v>782.367838</v>
      </c>
      <c r="F1081" s="205">
        <v>730.990146</v>
      </c>
      <c r="G1081" s="205"/>
      <c r="H1081" s="205">
        <v>51.377692</v>
      </c>
      <c r="I1081" s="204">
        <f t="shared" ref="I1081:I1095" si="468">SUM(J1081:L1081)</f>
        <v>561.670100000001</v>
      </c>
      <c r="J1081" s="212">
        <f>11941.2918-11670.32-189.45</f>
        <v>81.5218000000012</v>
      </c>
      <c r="K1081" s="205">
        <v>480.1483</v>
      </c>
      <c r="L1081" s="205"/>
      <c r="M1081" s="213" t="s">
        <v>1062</v>
      </c>
      <c r="N1081" s="176">
        <f t="shared" si="410"/>
        <v>863.889638000001</v>
      </c>
    </row>
    <row r="1082" ht="26.25" customHeight="1" spans="1:14">
      <c r="A1082" s="198" t="s">
        <v>1063</v>
      </c>
      <c r="B1082" s="199" t="s">
        <v>1064</v>
      </c>
      <c r="C1082" s="199"/>
      <c r="D1082" s="200">
        <f t="shared" ref="D1082:L1082" si="469">D1083+D1096</f>
        <v>4255.901893</v>
      </c>
      <c r="E1082" s="200">
        <f t="shared" si="469"/>
        <v>3373.601493</v>
      </c>
      <c r="F1082" s="200">
        <f t="shared" si="469"/>
        <v>3002.154229</v>
      </c>
      <c r="G1082" s="200">
        <f t="shared" si="469"/>
        <v>1.92</v>
      </c>
      <c r="H1082" s="200">
        <f t="shared" si="469"/>
        <v>369.527264</v>
      </c>
      <c r="I1082" s="200">
        <f t="shared" si="469"/>
        <v>882.3004</v>
      </c>
      <c r="J1082" s="200">
        <f t="shared" si="469"/>
        <v>33.8004</v>
      </c>
      <c r="K1082" s="200">
        <f t="shared" si="469"/>
        <v>0</v>
      </c>
      <c r="L1082" s="200">
        <f t="shared" si="469"/>
        <v>848.5</v>
      </c>
      <c r="M1082" s="211"/>
      <c r="N1082" s="176">
        <f t="shared" si="410"/>
        <v>3407.401893</v>
      </c>
    </row>
    <row r="1083" ht="26.25" customHeight="1" spans="1:14">
      <c r="A1083" s="198" t="s">
        <v>1065</v>
      </c>
      <c r="B1083" s="199" t="s">
        <v>1066</v>
      </c>
      <c r="C1083" s="199"/>
      <c r="D1083" s="200">
        <f t="shared" ref="D1083:L1083" si="470">SUM(D1084:D1095)</f>
        <v>3064.021493</v>
      </c>
      <c r="E1083" s="200">
        <f t="shared" si="470"/>
        <v>3063.521493</v>
      </c>
      <c r="F1083" s="200">
        <f t="shared" si="470"/>
        <v>2986.194229</v>
      </c>
      <c r="G1083" s="200">
        <f t="shared" si="470"/>
        <v>1.92</v>
      </c>
      <c r="H1083" s="200">
        <f t="shared" si="470"/>
        <v>75.407264</v>
      </c>
      <c r="I1083" s="200">
        <f t="shared" si="470"/>
        <v>0.5</v>
      </c>
      <c r="J1083" s="200">
        <f t="shared" si="470"/>
        <v>0.5</v>
      </c>
      <c r="K1083" s="200">
        <f t="shared" si="470"/>
        <v>0</v>
      </c>
      <c r="L1083" s="200">
        <f t="shared" si="470"/>
        <v>0</v>
      </c>
      <c r="M1083" s="211"/>
      <c r="N1083" s="176">
        <f t="shared" si="410"/>
        <v>3064.021493</v>
      </c>
    </row>
    <row r="1084" ht="26.25" hidden="1" customHeight="1" spans="1:14">
      <c r="A1084" s="202"/>
      <c r="B1084" s="203"/>
      <c r="C1084" s="203" t="s">
        <v>544</v>
      </c>
      <c r="D1084" s="200">
        <f t="shared" si="466"/>
        <v>76.789348</v>
      </c>
      <c r="E1084" s="204">
        <f t="shared" si="467"/>
        <v>76.789348</v>
      </c>
      <c r="F1084" s="205">
        <v>71.637268</v>
      </c>
      <c r="G1084" s="205">
        <v>1.92</v>
      </c>
      <c r="H1084" s="205">
        <v>3.23208</v>
      </c>
      <c r="I1084" s="204">
        <f t="shared" si="468"/>
        <v>0</v>
      </c>
      <c r="J1084" s="212"/>
      <c r="K1084" s="205"/>
      <c r="L1084" s="205"/>
      <c r="M1084" s="213"/>
      <c r="N1084" s="176">
        <f t="shared" ref="N1084:N1097" si="471">J1084+E1084</f>
        <v>76.789348</v>
      </c>
    </row>
    <row r="1085" ht="26.25" hidden="1" customHeight="1" spans="1:14">
      <c r="A1085" s="202"/>
      <c r="B1085" s="203"/>
      <c r="C1085" s="203" t="s">
        <v>544</v>
      </c>
      <c r="D1085" s="200">
        <f t="shared" si="466"/>
        <v>115.839238</v>
      </c>
      <c r="E1085" s="204">
        <f t="shared" si="467"/>
        <v>115.839238</v>
      </c>
      <c r="F1085" s="205">
        <v>114.627238</v>
      </c>
      <c r="G1085" s="205"/>
      <c r="H1085" s="205">
        <v>1.212</v>
      </c>
      <c r="I1085" s="204">
        <f t="shared" si="468"/>
        <v>0</v>
      </c>
      <c r="J1085" s="212"/>
      <c r="K1085" s="205"/>
      <c r="L1085" s="205"/>
      <c r="M1085" s="213"/>
      <c r="N1085" s="176">
        <f t="shared" si="471"/>
        <v>115.839238</v>
      </c>
    </row>
    <row r="1086" ht="26.25" hidden="1" customHeight="1" spans="1:14">
      <c r="A1086" s="202"/>
      <c r="B1086" s="203"/>
      <c r="C1086" s="203" t="s">
        <v>544</v>
      </c>
      <c r="D1086" s="200">
        <f t="shared" si="466"/>
        <v>316.324966</v>
      </c>
      <c r="E1086" s="204">
        <f t="shared" si="467"/>
        <v>316.324966</v>
      </c>
      <c r="F1086" s="205">
        <v>304.046602</v>
      </c>
      <c r="G1086" s="205"/>
      <c r="H1086" s="205">
        <v>12.278364</v>
      </c>
      <c r="I1086" s="204">
        <f t="shared" si="468"/>
        <v>0</v>
      </c>
      <c r="J1086" s="212"/>
      <c r="K1086" s="205"/>
      <c r="L1086" s="205"/>
      <c r="M1086" s="213"/>
      <c r="N1086" s="176">
        <f t="shared" si="471"/>
        <v>316.324966</v>
      </c>
    </row>
    <row r="1087" ht="26.25" hidden="1" customHeight="1" spans="1:14">
      <c r="A1087" s="202"/>
      <c r="B1087" s="203"/>
      <c r="C1087" s="203" t="s">
        <v>544</v>
      </c>
      <c r="D1087" s="200">
        <f t="shared" si="466"/>
        <v>676.476309</v>
      </c>
      <c r="E1087" s="204">
        <f t="shared" si="467"/>
        <v>676.146309</v>
      </c>
      <c r="F1087" s="205">
        <v>660.123069</v>
      </c>
      <c r="G1087" s="205"/>
      <c r="H1087" s="205">
        <v>16.02324</v>
      </c>
      <c r="I1087" s="204">
        <f t="shared" si="468"/>
        <v>0.33</v>
      </c>
      <c r="J1087" s="212">
        <v>0.33</v>
      </c>
      <c r="K1087" s="205"/>
      <c r="L1087" s="205"/>
      <c r="M1087" s="213" t="s">
        <v>1067</v>
      </c>
      <c r="N1087" s="176">
        <f t="shared" si="471"/>
        <v>676.476309</v>
      </c>
    </row>
    <row r="1088" ht="26.25" hidden="1" customHeight="1" spans="1:14">
      <c r="A1088" s="202"/>
      <c r="B1088" s="203"/>
      <c r="C1088" s="203" t="s">
        <v>544</v>
      </c>
      <c r="D1088" s="200">
        <f t="shared" si="466"/>
        <v>418.855882</v>
      </c>
      <c r="E1088" s="204">
        <f t="shared" si="467"/>
        <v>418.795882</v>
      </c>
      <c r="F1088" s="205">
        <v>412.345102</v>
      </c>
      <c r="G1088" s="205"/>
      <c r="H1088" s="205">
        <v>6.45078</v>
      </c>
      <c r="I1088" s="204">
        <f t="shared" si="468"/>
        <v>0.06</v>
      </c>
      <c r="J1088" s="212">
        <v>0.06</v>
      </c>
      <c r="K1088" s="205"/>
      <c r="L1088" s="205"/>
      <c r="M1088" s="213" t="s">
        <v>1068</v>
      </c>
      <c r="N1088" s="176">
        <f t="shared" si="471"/>
        <v>418.855882</v>
      </c>
    </row>
    <row r="1089" ht="26.25" hidden="1" customHeight="1" spans="1:14">
      <c r="A1089" s="202"/>
      <c r="B1089" s="203"/>
      <c r="C1089" s="203" t="s">
        <v>544</v>
      </c>
      <c r="D1089" s="200">
        <f t="shared" si="466"/>
        <v>163.570577</v>
      </c>
      <c r="E1089" s="204">
        <f t="shared" si="467"/>
        <v>163.570577</v>
      </c>
      <c r="F1089" s="205">
        <v>159.268577</v>
      </c>
      <c r="G1089" s="205"/>
      <c r="H1089" s="205">
        <v>4.302</v>
      </c>
      <c r="I1089" s="204">
        <f t="shared" si="468"/>
        <v>0</v>
      </c>
      <c r="J1089" s="212"/>
      <c r="K1089" s="205"/>
      <c r="L1089" s="205"/>
      <c r="M1089" s="213"/>
      <c r="N1089" s="176">
        <f t="shared" si="471"/>
        <v>163.570577</v>
      </c>
    </row>
    <row r="1090" ht="26.25" hidden="1" customHeight="1" spans="1:14">
      <c r="A1090" s="202"/>
      <c r="B1090" s="203"/>
      <c r="C1090" s="203" t="s">
        <v>544</v>
      </c>
      <c r="D1090" s="200">
        <f t="shared" si="466"/>
        <v>150.06416</v>
      </c>
      <c r="E1090" s="204">
        <f t="shared" si="467"/>
        <v>150.06416</v>
      </c>
      <c r="F1090" s="205">
        <v>148.15616</v>
      </c>
      <c r="G1090" s="205"/>
      <c r="H1090" s="205">
        <v>1.908</v>
      </c>
      <c r="I1090" s="204">
        <f t="shared" si="468"/>
        <v>0</v>
      </c>
      <c r="J1090" s="212"/>
      <c r="K1090" s="205"/>
      <c r="L1090" s="205"/>
      <c r="M1090" s="213"/>
      <c r="N1090" s="176">
        <f t="shared" si="471"/>
        <v>150.06416</v>
      </c>
    </row>
    <row r="1091" ht="26.25" hidden="1" customHeight="1" spans="1:14">
      <c r="A1091" s="202"/>
      <c r="B1091" s="203"/>
      <c r="C1091" s="203" t="s">
        <v>544</v>
      </c>
      <c r="D1091" s="200">
        <f t="shared" si="466"/>
        <v>116.543453</v>
      </c>
      <c r="E1091" s="204">
        <f t="shared" si="467"/>
        <v>116.543453</v>
      </c>
      <c r="F1091" s="205">
        <v>114.641453</v>
      </c>
      <c r="G1091" s="205"/>
      <c r="H1091" s="205">
        <v>1.902</v>
      </c>
      <c r="I1091" s="204">
        <f t="shared" si="468"/>
        <v>0</v>
      </c>
      <c r="J1091" s="212"/>
      <c r="K1091" s="205"/>
      <c r="L1091" s="205"/>
      <c r="M1091" s="213"/>
      <c r="N1091" s="176">
        <f t="shared" si="471"/>
        <v>116.543453</v>
      </c>
    </row>
    <row r="1092" ht="26.25" hidden="1" customHeight="1" spans="1:14">
      <c r="A1092" s="202"/>
      <c r="B1092" s="203"/>
      <c r="C1092" s="203" t="s">
        <v>544</v>
      </c>
      <c r="D1092" s="200">
        <f t="shared" si="466"/>
        <v>315.391023</v>
      </c>
      <c r="E1092" s="204">
        <f t="shared" si="467"/>
        <v>315.391023</v>
      </c>
      <c r="F1092" s="205">
        <v>311.493183</v>
      </c>
      <c r="G1092" s="205"/>
      <c r="H1092" s="205">
        <v>3.89784</v>
      </c>
      <c r="I1092" s="204">
        <f t="shared" si="468"/>
        <v>0</v>
      </c>
      <c r="J1092" s="212"/>
      <c r="K1092" s="205"/>
      <c r="L1092" s="205"/>
      <c r="M1092" s="213"/>
      <c r="N1092" s="176">
        <f t="shared" si="471"/>
        <v>315.391023</v>
      </c>
    </row>
    <row r="1093" ht="26.25" hidden="1" customHeight="1" spans="1:14">
      <c r="A1093" s="202"/>
      <c r="B1093" s="203"/>
      <c r="C1093" s="203" t="s">
        <v>544</v>
      </c>
      <c r="D1093" s="200">
        <f t="shared" si="466"/>
        <v>282.456842</v>
      </c>
      <c r="E1093" s="204">
        <f t="shared" si="467"/>
        <v>282.456842</v>
      </c>
      <c r="F1093" s="205">
        <v>274.210802</v>
      </c>
      <c r="G1093" s="205"/>
      <c r="H1093" s="205">
        <v>8.24604</v>
      </c>
      <c r="I1093" s="204">
        <f t="shared" si="468"/>
        <v>0</v>
      </c>
      <c r="J1093" s="212"/>
      <c r="K1093" s="205"/>
      <c r="L1093" s="205"/>
      <c r="M1093" s="213"/>
      <c r="N1093" s="176">
        <f t="shared" si="471"/>
        <v>282.456842</v>
      </c>
    </row>
    <row r="1094" ht="26.25" hidden="1" customHeight="1" spans="1:14">
      <c r="A1094" s="202"/>
      <c r="B1094" s="203"/>
      <c r="C1094" s="203" t="s">
        <v>544</v>
      </c>
      <c r="D1094" s="200">
        <f t="shared" si="466"/>
        <v>150.548925</v>
      </c>
      <c r="E1094" s="204">
        <f t="shared" si="467"/>
        <v>150.548925</v>
      </c>
      <c r="F1094" s="205">
        <v>145.674685</v>
      </c>
      <c r="G1094" s="205"/>
      <c r="H1094" s="205">
        <v>4.87424</v>
      </c>
      <c r="I1094" s="204">
        <f t="shared" si="468"/>
        <v>0</v>
      </c>
      <c r="J1094" s="212"/>
      <c r="K1094" s="205"/>
      <c r="L1094" s="205"/>
      <c r="M1094" s="213"/>
      <c r="N1094" s="176">
        <f t="shared" si="471"/>
        <v>150.548925</v>
      </c>
    </row>
    <row r="1095" ht="26.25" hidden="1" customHeight="1" spans="1:14">
      <c r="A1095" s="202"/>
      <c r="B1095" s="203"/>
      <c r="C1095" s="203" t="s">
        <v>544</v>
      </c>
      <c r="D1095" s="200">
        <f t="shared" si="466"/>
        <v>281.16077</v>
      </c>
      <c r="E1095" s="204">
        <f t="shared" si="467"/>
        <v>281.05077</v>
      </c>
      <c r="F1095" s="205">
        <v>269.97009</v>
      </c>
      <c r="G1095" s="205"/>
      <c r="H1095" s="205">
        <v>11.08068</v>
      </c>
      <c r="I1095" s="204">
        <f t="shared" si="468"/>
        <v>0.11</v>
      </c>
      <c r="J1095" s="212">
        <v>0.11</v>
      </c>
      <c r="K1095" s="205"/>
      <c r="L1095" s="205"/>
      <c r="M1095" s="213" t="s">
        <v>1069</v>
      </c>
      <c r="N1095" s="176">
        <f t="shared" si="471"/>
        <v>281.16077</v>
      </c>
    </row>
    <row r="1096" ht="26.25" customHeight="1" spans="1:14">
      <c r="A1096" s="198" t="s">
        <v>1070</v>
      </c>
      <c r="B1096" s="199" t="s">
        <v>1071</v>
      </c>
      <c r="C1096" s="199"/>
      <c r="D1096" s="200">
        <f t="shared" ref="D1096:L1096" si="472">SUM(D1097:D1097)</f>
        <v>1191.8804</v>
      </c>
      <c r="E1096" s="200">
        <f t="shared" si="472"/>
        <v>310.08</v>
      </c>
      <c r="F1096" s="200">
        <f t="shared" si="472"/>
        <v>15.96</v>
      </c>
      <c r="G1096" s="200">
        <f t="shared" si="472"/>
        <v>0</v>
      </c>
      <c r="H1096" s="200">
        <f t="shared" si="472"/>
        <v>294.12</v>
      </c>
      <c r="I1096" s="200">
        <f t="shared" si="472"/>
        <v>881.8004</v>
      </c>
      <c r="J1096" s="200">
        <f t="shared" si="472"/>
        <v>33.3004</v>
      </c>
      <c r="K1096" s="200">
        <f t="shared" si="472"/>
        <v>0</v>
      </c>
      <c r="L1096" s="200">
        <f t="shared" si="472"/>
        <v>848.5</v>
      </c>
      <c r="M1096" s="211"/>
      <c r="N1096" s="176">
        <f t="shared" si="471"/>
        <v>343.3804</v>
      </c>
    </row>
    <row r="1097" ht="42" customHeight="1" spans="1:14">
      <c r="A1097" s="202"/>
      <c r="B1097" s="203"/>
      <c r="C1097" s="203" t="s">
        <v>544</v>
      </c>
      <c r="D1097" s="200">
        <f>E1097+I1097</f>
        <v>1191.8804</v>
      </c>
      <c r="E1097" s="204">
        <f>SUM(F1097:H1097)</f>
        <v>310.08</v>
      </c>
      <c r="F1097" s="205">
        <v>15.96</v>
      </c>
      <c r="G1097" s="205"/>
      <c r="H1097" s="205">
        <v>294.12</v>
      </c>
      <c r="I1097" s="204">
        <f>SUM(J1097:L1097)</f>
        <v>881.8004</v>
      </c>
      <c r="J1097" s="212">
        <v>33.3004</v>
      </c>
      <c r="K1097" s="205"/>
      <c r="L1097" s="205">
        <f>307.48+134.22+289.22+117.58</f>
        <v>848.5</v>
      </c>
      <c r="M1097" s="213" t="s">
        <v>1072</v>
      </c>
      <c r="N1097" s="176">
        <f t="shared" si="471"/>
        <v>343.3804</v>
      </c>
    </row>
    <row r="1098" ht="26.25" customHeight="1" spans="1:14">
      <c r="A1098" s="198" t="s">
        <v>1073</v>
      </c>
      <c r="B1098" s="199" t="s">
        <v>1074</v>
      </c>
      <c r="C1098" s="199"/>
      <c r="D1098" s="200">
        <f t="shared" ref="D1098:L1098" si="473">D1099+D1101+D1103+D1105+D1107+D1109</f>
        <v>4623.013452</v>
      </c>
      <c r="E1098" s="200">
        <f t="shared" si="473"/>
        <v>1149.656952</v>
      </c>
      <c r="F1098" s="200">
        <f t="shared" si="473"/>
        <v>1099.325812</v>
      </c>
      <c r="G1098" s="200">
        <f t="shared" si="473"/>
        <v>20.042</v>
      </c>
      <c r="H1098" s="200">
        <f t="shared" si="473"/>
        <v>30.28914</v>
      </c>
      <c r="I1098" s="200">
        <f t="shared" si="473"/>
        <v>3473.3565</v>
      </c>
      <c r="J1098" s="200">
        <f t="shared" si="473"/>
        <v>243.08</v>
      </c>
      <c r="K1098" s="200">
        <f t="shared" si="473"/>
        <v>828.1565</v>
      </c>
      <c r="L1098" s="200">
        <f t="shared" si="473"/>
        <v>2402.12</v>
      </c>
      <c r="M1098" s="211"/>
      <c r="N1098" s="176">
        <f t="shared" ref="N1098:N1135" si="474">J1098+E1098</f>
        <v>1392.736952</v>
      </c>
    </row>
    <row r="1099" ht="26.25" customHeight="1" spans="1:14">
      <c r="A1099" s="198" t="s">
        <v>1075</v>
      </c>
      <c r="B1099" s="199" t="s">
        <v>1076</v>
      </c>
      <c r="C1099" s="199"/>
      <c r="D1099" s="200">
        <f t="shared" ref="D1099:L1099" si="475">D1100</f>
        <v>1234.941862</v>
      </c>
      <c r="E1099" s="200">
        <f t="shared" si="475"/>
        <v>478.577862</v>
      </c>
      <c r="F1099" s="200">
        <f t="shared" si="475"/>
        <v>453.177682</v>
      </c>
      <c r="G1099" s="200">
        <f t="shared" si="475"/>
        <v>11.75</v>
      </c>
      <c r="H1099" s="200">
        <f t="shared" si="475"/>
        <v>13.65018</v>
      </c>
      <c r="I1099" s="200">
        <f t="shared" si="475"/>
        <v>756.364</v>
      </c>
      <c r="J1099" s="200">
        <f t="shared" si="475"/>
        <v>37.16</v>
      </c>
      <c r="K1099" s="200">
        <f t="shared" si="475"/>
        <v>689.424</v>
      </c>
      <c r="L1099" s="200">
        <f t="shared" si="475"/>
        <v>29.78</v>
      </c>
      <c r="M1099" s="211"/>
      <c r="N1099" s="176">
        <f t="shared" si="474"/>
        <v>515.737862</v>
      </c>
    </row>
    <row r="1100" ht="42" customHeight="1" spans="1:14">
      <c r="A1100" s="202"/>
      <c r="B1100" s="203"/>
      <c r="C1100" s="203" t="s">
        <v>544</v>
      </c>
      <c r="D1100" s="200">
        <f t="shared" ref="D1100:D1104" si="476">E1100+I1100</f>
        <v>1234.941862</v>
      </c>
      <c r="E1100" s="204">
        <f t="shared" ref="E1100:E1104" si="477">SUM(F1100:H1100)</f>
        <v>478.577862</v>
      </c>
      <c r="F1100" s="205">
        <v>453.177682</v>
      </c>
      <c r="G1100" s="205">
        <v>11.75</v>
      </c>
      <c r="H1100" s="205">
        <v>13.65018</v>
      </c>
      <c r="I1100" s="204">
        <f t="shared" ref="I1100:I1104" si="478">SUM(J1100:L1100)</f>
        <v>756.364</v>
      </c>
      <c r="J1100" s="212">
        <v>37.16</v>
      </c>
      <c r="K1100" s="205">
        <v>689.424</v>
      </c>
      <c r="L1100" s="205">
        <v>29.78</v>
      </c>
      <c r="M1100" s="213" t="s">
        <v>1077</v>
      </c>
      <c r="N1100" s="176">
        <f t="shared" si="474"/>
        <v>515.737862</v>
      </c>
    </row>
    <row r="1101" ht="26.25" customHeight="1" spans="1:14">
      <c r="A1101" s="198" t="s">
        <v>1078</v>
      </c>
      <c r="B1101" s="199" t="s">
        <v>1079</v>
      </c>
      <c r="C1101" s="199"/>
      <c r="D1101" s="200">
        <f t="shared" ref="D1101:L1101" si="479">D1102</f>
        <v>78.718976</v>
      </c>
      <c r="E1101" s="200">
        <f t="shared" si="479"/>
        <v>70.718976</v>
      </c>
      <c r="F1101" s="200">
        <f t="shared" si="479"/>
        <v>60.431736</v>
      </c>
      <c r="G1101" s="200">
        <f t="shared" si="479"/>
        <v>8.292</v>
      </c>
      <c r="H1101" s="200">
        <f t="shared" si="479"/>
        <v>1.99524</v>
      </c>
      <c r="I1101" s="200">
        <f t="shared" si="479"/>
        <v>8</v>
      </c>
      <c r="J1101" s="200">
        <f t="shared" si="479"/>
        <v>8</v>
      </c>
      <c r="K1101" s="200">
        <f t="shared" si="479"/>
        <v>0</v>
      </c>
      <c r="L1101" s="200">
        <f t="shared" si="479"/>
        <v>0</v>
      </c>
      <c r="M1101" s="211"/>
      <c r="N1101" s="176">
        <f t="shared" si="474"/>
        <v>78.718976</v>
      </c>
    </row>
    <row r="1102" ht="26.25" customHeight="1" spans="1:14">
      <c r="A1102" s="202"/>
      <c r="B1102" s="203"/>
      <c r="C1102" s="203" t="s">
        <v>544</v>
      </c>
      <c r="D1102" s="200">
        <f t="shared" si="476"/>
        <v>78.718976</v>
      </c>
      <c r="E1102" s="204">
        <f t="shared" si="477"/>
        <v>70.718976</v>
      </c>
      <c r="F1102" s="205">
        <v>60.431736</v>
      </c>
      <c r="G1102" s="205">
        <v>8.292</v>
      </c>
      <c r="H1102" s="205">
        <v>1.99524</v>
      </c>
      <c r="I1102" s="204">
        <f t="shared" si="478"/>
        <v>8</v>
      </c>
      <c r="J1102" s="212">
        <v>8</v>
      </c>
      <c r="K1102" s="205"/>
      <c r="L1102" s="205"/>
      <c r="M1102" s="213" t="s">
        <v>1080</v>
      </c>
      <c r="N1102" s="176">
        <f t="shared" si="474"/>
        <v>78.718976</v>
      </c>
    </row>
    <row r="1103" ht="26.25" customHeight="1" spans="1:14">
      <c r="A1103" s="198" t="s">
        <v>1081</v>
      </c>
      <c r="B1103" s="199" t="s">
        <v>1082</v>
      </c>
      <c r="C1103" s="199"/>
      <c r="D1103" s="200">
        <f t="shared" ref="D1103:L1103" si="480">D1104</f>
        <v>622.580114</v>
      </c>
      <c r="E1103" s="200">
        <f t="shared" si="480"/>
        <v>600.360114</v>
      </c>
      <c r="F1103" s="200">
        <f t="shared" si="480"/>
        <v>585.716394</v>
      </c>
      <c r="G1103" s="200">
        <f t="shared" si="480"/>
        <v>0</v>
      </c>
      <c r="H1103" s="200">
        <f t="shared" si="480"/>
        <v>14.64372</v>
      </c>
      <c r="I1103" s="200">
        <f t="shared" si="480"/>
        <v>22.22</v>
      </c>
      <c r="J1103" s="200">
        <f t="shared" si="480"/>
        <v>22.22</v>
      </c>
      <c r="K1103" s="200">
        <f t="shared" si="480"/>
        <v>0</v>
      </c>
      <c r="L1103" s="200">
        <f t="shared" si="480"/>
        <v>0</v>
      </c>
      <c r="M1103" s="211"/>
      <c r="N1103" s="176">
        <f t="shared" si="474"/>
        <v>622.580114</v>
      </c>
    </row>
    <row r="1104" ht="54" customHeight="1" spans="1:14">
      <c r="A1104" s="202"/>
      <c r="B1104" s="203"/>
      <c r="C1104" s="203" t="s">
        <v>544</v>
      </c>
      <c r="D1104" s="200">
        <f t="shared" si="476"/>
        <v>622.580114</v>
      </c>
      <c r="E1104" s="204">
        <f t="shared" si="477"/>
        <v>600.360114</v>
      </c>
      <c r="F1104" s="205">
        <v>585.716394</v>
      </c>
      <c r="G1104" s="205"/>
      <c r="H1104" s="205">
        <v>14.64372</v>
      </c>
      <c r="I1104" s="204">
        <f t="shared" si="478"/>
        <v>22.22</v>
      </c>
      <c r="J1104" s="212">
        <v>22.22</v>
      </c>
      <c r="K1104" s="205"/>
      <c r="L1104" s="205"/>
      <c r="M1104" s="213" t="s">
        <v>1083</v>
      </c>
      <c r="N1104" s="176">
        <f t="shared" si="474"/>
        <v>622.580114</v>
      </c>
    </row>
    <row r="1105" ht="26.25" customHeight="1" spans="1:14">
      <c r="A1105" s="198" t="s">
        <v>1084</v>
      </c>
      <c r="B1105" s="199" t="s">
        <v>1085</v>
      </c>
      <c r="C1105" s="199"/>
      <c r="D1105" s="200">
        <f t="shared" ref="D1105:L1105" si="481">D1106</f>
        <v>2034.6279</v>
      </c>
      <c r="E1105" s="200">
        <f t="shared" si="481"/>
        <v>0</v>
      </c>
      <c r="F1105" s="200">
        <f t="shared" si="481"/>
        <v>0</v>
      </c>
      <c r="G1105" s="200">
        <f t="shared" si="481"/>
        <v>0</v>
      </c>
      <c r="H1105" s="200">
        <f t="shared" si="481"/>
        <v>0</v>
      </c>
      <c r="I1105" s="200">
        <f t="shared" si="481"/>
        <v>2034.6279</v>
      </c>
      <c r="J1105" s="200">
        <f t="shared" si="481"/>
        <v>112.42</v>
      </c>
      <c r="K1105" s="200">
        <f t="shared" si="481"/>
        <v>15.7879</v>
      </c>
      <c r="L1105" s="200">
        <f t="shared" si="481"/>
        <v>1906.42</v>
      </c>
      <c r="M1105" s="211"/>
      <c r="N1105" s="176">
        <f t="shared" si="474"/>
        <v>112.42</v>
      </c>
    </row>
    <row r="1106" ht="29" customHeight="1" spans="1:14">
      <c r="A1106" s="202"/>
      <c r="B1106" s="203"/>
      <c r="C1106" s="203" t="s">
        <v>544</v>
      </c>
      <c r="D1106" s="200">
        <f t="shared" ref="D1106:D1110" si="482">E1106+I1106</f>
        <v>2034.6279</v>
      </c>
      <c r="E1106" s="204">
        <f t="shared" ref="E1106:E1110" si="483">SUM(F1106:H1106)</f>
        <v>0</v>
      </c>
      <c r="F1106" s="205"/>
      <c r="G1106" s="205"/>
      <c r="H1106" s="205"/>
      <c r="I1106" s="204">
        <f t="shared" ref="I1106:I1110" si="484">SUM(J1106:L1106)</f>
        <v>2034.6279</v>
      </c>
      <c r="J1106" s="212">
        <v>112.42</v>
      </c>
      <c r="K1106" s="205">
        <v>15.7879</v>
      </c>
      <c r="L1106" s="205">
        <f>1618.26+288.16</f>
        <v>1906.42</v>
      </c>
      <c r="M1106" s="213" t="s">
        <v>1086</v>
      </c>
      <c r="N1106" s="176">
        <f t="shared" si="474"/>
        <v>112.42</v>
      </c>
    </row>
    <row r="1107" ht="26.25" customHeight="1" spans="1:14">
      <c r="A1107" s="198" t="s">
        <v>1087</v>
      </c>
      <c r="B1107" s="199" t="s">
        <v>1088</v>
      </c>
      <c r="C1107" s="199"/>
      <c r="D1107" s="200">
        <f t="shared" ref="D1107:L1107" si="485">D1108</f>
        <v>170.2246</v>
      </c>
      <c r="E1107" s="200">
        <f t="shared" si="485"/>
        <v>0</v>
      </c>
      <c r="F1107" s="200">
        <f t="shared" si="485"/>
        <v>0</v>
      </c>
      <c r="G1107" s="200">
        <f t="shared" si="485"/>
        <v>0</v>
      </c>
      <c r="H1107" s="200">
        <f t="shared" si="485"/>
        <v>0</v>
      </c>
      <c r="I1107" s="200">
        <f t="shared" si="485"/>
        <v>170.2246</v>
      </c>
      <c r="J1107" s="200">
        <f t="shared" si="485"/>
        <v>47.28</v>
      </c>
      <c r="K1107" s="200">
        <f t="shared" si="485"/>
        <v>122.9446</v>
      </c>
      <c r="L1107" s="200">
        <f t="shared" si="485"/>
        <v>0</v>
      </c>
      <c r="M1107" s="211"/>
      <c r="N1107" s="176">
        <f t="shared" si="474"/>
        <v>47.28</v>
      </c>
    </row>
    <row r="1108" ht="33" customHeight="1" spans="1:14">
      <c r="A1108" s="202"/>
      <c r="B1108" s="203"/>
      <c r="C1108" s="203" t="s">
        <v>544</v>
      </c>
      <c r="D1108" s="200">
        <f t="shared" si="482"/>
        <v>170.2246</v>
      </c>
      <c r="E1108" s="204">
        <f t="shared" si="483"/>
        <v>0</v>
      </c>
      <c r="F1108" s="205"/>
      <c r="G1108" s="205"/>
      <c r="H1108" s="205"/>
      <c r="I1108" s="204">
        <f t="shared" si="484"/>
        <v>170.2246</v>
      </c>
      <c r="J1108" s="212">
        <v>47.28</v>
      </c>
      <c r="K1108" s="205">
        <v>122.9446</v>
      </c>
      <c r="L1108" s="205"/>
      <c r="M1108" s="213" t="s">
        <v>1089</v>
      </c>
      <c r="N1108" s="176">
        <f t="shared" si="474"/>
        <v>47.28</v>
      </c>
    </row>
    <row r="1109" ht="26.25" customHeight="1" spans="1:14">
      <c r="A1109" s="198" t="s">
        <v>1090</v>
      </c>
      <c r="B1109" s="199" t="s">
        <v>1091</v>
      </c>
      <c r="C1109" s="199"/>
      <c r="D1109" s="200">
        <f t="shared" ref="D1109:L1109" si="486">D1110</f>
        <v>481.92</v>
      </c>
      <c r="E1109" s="200">
        <f t="shared" si="486"/>
        <v>0</v>
      </c>
      <c r="F1109" s="200">
        <f t="shared" si="486"/>
        <v>0</v>
      </c>
      <c r="G1109" s="200">
        <f t="shared" si="486"/>
        <v>0</v>
      </c>
      <c r="H1109" s="200">
        <f t="shared" si="486"/>
        <v>0</v>
      </c>
      <c r="I1109" s="200">
        <f t="shared" si="486"/>
        <v>481.92</v>
      </c>
      <c r="J1109" s="200">
        <f t="shared" si="486"/>
        <v>16</v>
      </c>
      <c r="K1109" s="200">
        <f t="shared" si="486"/>
        <v>0</v>
      </c>
      <c r="L1109" s="200">
        <f t="shared" si="486"/>
        <v>465.92</v>
      </c>
      <c r="M1109" s="211"/>
      <c r="N1109" s="176">
        <f t="shared" si="474"/>
        <v>16</v>
      </c>
    </row>
    <row r="1110" ht="34" customHeight="1" spans="1:14">
      <c r="A1110" s="202"/>
      <c r="B1110" s="203"/>
      <c r="C1110" s="203" t="s">
        <v>544</v>
      </c>
      <c r="D1110" s="200">
        <f t="shared" si="482"/>
        <v>481.92</v>
      </c>
      <c r="E1110" s="204">
        <f t="shared" si="483"/>
        <v>0</v>
      </c>
      <c r="F1110" s="205"/>
      <c r="G1110" s="205"/>
      <c r="H1110" s="205"/>
      <c r="I1110" s="204">
        <f t="shared" si="484"/>
        <v>481.92</v>
      </c>
      <c r="J1110" s="212">
        <v>16</v>
      </c>
      <c r="K1110" s="205"/>
      <c r="L1110" s="205">
        <f>247.58+168.34+50</f>
        <v>465.92</v>
      </c>
      <c r="M1110" s="213" t="s">
        <v>1092</v>
      </c>
      <c r="N1110" s="176">
        <f t="shared" si="474"/>
        <v>16</v>
      </c>
    </row>
    <row r="1111" ht="26.25" customHeight="1" spans="1:14">
      <c r="A1111" s="217">
        <v>21006</v>
      </c>
      <c r="B1111" s="199" t="s">
        <v>1093</v>
      </c>
      <c r="C1111" s="203"/>
      <c r="D1111" s="200">
        <f t="shared" ref="D1111:L1111" si="487">D1112</f>
        <v>160</v>
      </c>
      <c r="E1111" s="200">
        <f t="shared" si="487"/>
        <v>0</v>
      </c>
      <c r="F1111" s="200">
        <f t="shared" si="487"/>
        <v>0</v>
      </c>
      <c r="G1111" s="200">
        <f t="shared" si="487"/>
        <v>0</v>
      </c>
      <c r="H1111" s="200">
        <f t="shared" si="487"/>
        <v>0</v>
      </c>
      <c r="I1111" s="200">
        <f t="shared" si="487"/>
        <v>160</v>
      </c>
      <c r="J1111" s="200">
        <f t="shared" si="487"/>
        <v>0</v>
      </c>
      <c r="K1111" s="200">
        <f t="shared" si="487"/>
        <v>0</v>
      </c>
      <c r="L1111" s="200">
        <f t="shared" si="487"/>
        <v>160</v>
      </c>
      <c r="M1111" s="213"/>
      <c r="N1111" s="176">
        <f t="shared" si="474"/>
        <v>0</v>
      </c>
    </row>
    <row r="1112" ht="26.25" customHeight="1" spans="1:14">
      <c r="A1112" s="217">
        <v>2100601</v>
      </c>
      <c r="B1112" s="221" t="s">
        <v>1094</v>
      </c>
      <c r="C1112" s="203"/>
      <c r="D1112" s="200">
        <f>E1112+I1112</f>
        <v>160</v>
      </c>
      <c r="E1112" s="204">
        <f>SUM(F1112:H1112)</f>
        <v>0</v>
      </c>
      <c r="F1112" s="205"/>
      <c r="G1112" s="205"/>
      <c r="H1112" s="205"/>
      <c r="I1112" s="204">
        <f>SUM(J1112:L1112)</f>
        <v>160</v>
      </c>
      <c r="J1112" s="212"/>
      <c r="K1112" s="205"/>
      <c r="L1112" s="205">
        <f>90+70</f>
        <v>160</v>
      </c>
      <c r="M1112" s="213" t="s">
        <v>1095</v>
      </c>
      <c r="N1112" s="176">
        <f t="shared" si="474"/>
        <v>0</v>
      </c>
    </row>
    <row r="1113" ht="26.25" customHeight="1" spans="1:14">
      <c r="A1113" s="198" t="s">
        <v>1096</v>
      </c>
      <c r="B1113" s="199" t="s">
        <v>1097</v>
      </c>
      <c r="C1113" s="199"/>
      <c r="D1113" s="200">
        <f t="shared" ref="D1113:L1113" si="488">SUM(D1114,D1116,D1118)</f>
        <v>1427.298869</v>
      </c>
      <c r="E1113" s="200">
        <f t="shared" si="488"/>
        <v>756.531069</v>
      </c>
      <c r="F1113" s="200">
        <f t="shared" si="488"/>
        <v>721.705609</v>
      </c>
      <c r="G1113" s="200">
        <f t="shared" si="488"/>
        <v>33.385</v>
      </c>
      <c r="H1113" s="200">
        <f t="shared" si="488"/>
        <v>1.44046</v>
      </c>
      <c r="I1113" s="200">
        <f t="shared" si="488"/>
        <v>670.7678</v>
      </c>
      <c r="J1113" s="200">
        <f t="shared" si="488"/>
        <v>555.1176</v>
      </c>
      <c r="K1113" s="200">
        <f t="shared" si="488"/>
        <v>16.6502</v>
      </c>
      <c r="L1113" s="200">
        <f t="shared" si="488"/>
        <v>99</v>
      </c>
      <c r="M1113" s="211"/>
      <c r="N1113" s="176">
        <f t="shared" si="474"/>
        <v>1311.648669</v>
      </c>
    </row>
    <row r="1114" ht="26.25" customHeight="1" spans="1:14">
      <c r="A1114" s="198" t="s">
        <v>1098</v>
      </c>
      <c r="B1114" s="199" t="s">
        <v>1099</v>
      </c>
      <c r="C1114" s="199"/>
      <c r="D1114" s="200">
        <f t="shared" ref="D1114:L1114" si="489">SUM(D1115:D1115)</f>
        <v>766.131069</v>
      </c>
      <c r="E1114" s="200">
        <f t="shared" si="489"/>
        <v>756.531069</v>
      </c>
      <c r="F1114" s="200">
        <f t="shared" si="489"/>
        <v>721.705609</v>
      </c>
      <c r="G1114" s="200">
        <f t="shared" si="489"/>
        <v>33.385</v>
      </c>
      <c r="H1114" s="200">
        <f t="shared" si="489"/>
        <v>1.44046</v>
      </c>
      <c r="I1114" s="200">
        <f t="shared" si="489"/>
        <v>9.6</v>
      </c>
      <c r="J1114" s="200">
        <f t="shared" si="489"/>
        <v>9.6</v>
      </c>
      <c r="K1114" s="200">
        <f t="shared" si="489"/>
        <v>0</v>
      </c>
      <c r="L1114" s="200">
        <f t="shared" si="489"/>
        <v>0</v>
      </c>
      <c r="M1114" s="211"/>
      <c r="N1114" s="176">
        <f t="shared" si="474"/>
        <v>766.131069</v>
      </c>
    </row>
    <row r="1115" ht="26.25" customHeight="1" spans="1:14">
      <c r="A1115" s="202"/>
      <c r="B1115" s="203"/>
      <c r="C1115" s="203" t="s">
        <v>1100</v>
      </c>
      <c r="D1115" s="200">
        <f>E1115+I1115</f>
        <v>766.131069</v>
      </c>
      <c r="E1115" s="204">
        <f>SUM(F1115:H1115)</f>
        <v>756.531069</v>
      </c>
      <c r="F1115" s="205">
        <f>721.205609+0.5</f>
        <v>721.705609</v>
      </c>
      <c r="G1115" s="205">
        <v>33.385</v>
      </c>
      <c r="H1115" s="205">
        <v>1.44046</v>
      </c>
      <c r="I1115" s="204">
        <f>SUM(J1115:L1115)</f>
        <v>9.6</v>
      </c>
      <c r="J1115" s="212">
        <v>9.6</v>
      </c>
      <c r="K1115" s="205"/>
      <c r="L1115" s="205"/>
      <c r="M1115" s="213" t="s">
        <v>1101</v>
      </c>
      <c r="N1115" s="176">
        <f t="shared" si="474"/>
        <v>766.131069</v>
      </c>
    </row>
    <row r="1116" ht="26.25" customHeight="1" spans="1:14">
      <c r="A1116" s="198" t="s">
        <v>1102</v>
      </c>
      <c r="B1116" s="199" t="s">
        <v>1103</v>
      </c>
      <c r="C1116" s="199"/>
      <c r="D1116" s="200">
        <f t="shared" ref="D1116:L1116" si="490">SUM(D1117:D1117)</f>
        <v>490.1382</v>
      </c>
      <c r="E1116" s="200">
        <f t="shared" si="490"/>
        <v>0</v>
      </c>
      <c r="F1116" s="200">
        <f t="shared" si="490"/>
        <v>0</v>
      </c>
      <c r="G1116" s="200">
        <f t="shared" si="490"/>
        <v>0</v>
      </c>
      <c r="H1116" s="200">
        <f t="shared" si="490"/>
        <v>0</v>
      </c>
      <c r="I1116" s="200">
        <f t="shared" si="490"/>
        <v>490.1382</v>
      </c>
      <c r="J1116" s="200">
        <f t="shared" si="490"/>
        <v>374.488</v>
      </c>
      <c r="K1116" s="200">
        <f t="shared" si="490"/>
        <v>16.6502</v>
      </c>
      <c r="L1116" s="200">
        <f t="shared" si="490"/>
        <v>99</v>
      </c>
      <c r="M1116" s="211"/>
      <c r="N1116" s="176">
        <f t="shared" si="474"/>
        <v>374.488</v>
      </c>
    </row>
    <row r="1117" ht="94" customHeight="1" spans="1:14">
      <c r="A1117" s="202"/>
      <c r="B1117" s="203"/>
      <c r="C1117" s="203" t="s">
        <v>544</v>
      </c>
      <c r="D1117" s="200">
        <f>E1117+I1117</f>
        <v>490.1382</v>
      </c>
      <c r="E1117" s="204">
        <f>SUM(F1117:H1117)</f>
        <v>0</v>
      </c>
      <c r="F1117" s="205"/>
      <c r="G1117" s="205"/>
      <c r="H1117" s="205"/>
      <c r="I1117" s="204">
        <f>SUM(J1117:L1117)</f>
        <v>490.1382</v>
      </c>
      <c r="J1117" s="212">
        <v>374.488</v>
      </c>
      <c r="K1117" s="205">
        <v>16.6502</v>
      </c>
      <c r="L1117" s="205">
        <v>99</v>
      </c>
      <c r="M1117" s="213" t="s">
        <v>1104</v>
      </c>
      <c r="N1117" s="176">
        <f t="shared" si="474"/>
        <v>374.488</v>
      </c>
    </row>
    <row r="1118" ht="26.25" customHeight="1" spans="1:14">
      <c r="A1118" s="198" t="s">
        <v>1105</v>
      </c>
      <c r="B1118" s="199" t="s">
        <v>1106</v>
      </c>
      <c r="C1118" s="199"/>
      <c r="D1118" s="200">
        <f t="shared" ref="D1118:L1118" si="491">D1119</f>
        <v>171.0296</v>
      </c>
      <c r="E1118" s="200">
        <f t="shared" si="491"/>
        <v>0</v>
      </c>
      <c r="F1118" s="200">
        <f t="shared" si="491"/>
        <v>0</v>
      </c>
      <c r="G1118" s="200">
        <f t="shared" si="491"/>
        <v>0</v>
      </c>
      <c r="H1118" s="200">
        <f t="shared" si="491"/>
        <v>0</v>
      </c>
      <c r="I1118" s="200">
        <f t="shared" si="491"/>
        <v>171.0296</v>
      </c>
      <c r="J1118" s="200">
        <f t="shared" si="491"/>
        <v>171.0296</v>
      </c>
      <c r="K1118" s="200">
        <f t="shared" si="491"/>
        <v>0</v>
      </c>
      <c r="L1118" s="200">
        <f t="shared" si="491"/>
        <v>0</v>
      </c>
      <c r="M1118" s="211"/>
      <c r="N1118" s="176">
        <f t="shared" si="474"/>
        <v>171.0296</v>
      </c>
    </row>
    <row r="1119" ht="26.25" customHeight="1" spans="1:14">
      <c r="A1119" s="202"/>
      <c r="B1119" s="203"/>
      <c r="C1119" s="203" t="s">
        <v>544</v>
      </c>
      <c r="D1119" s="200">
        <f>E1119+I1119</f>
        <v>171.0296</v>
      </c>
      <c r="E1119" s="204">
        <f>SUM(F1119:H1119)</f>
        <v>0</v>
      </c>
      <c r="F1119" s="205"/>
      <c r="G1119" s="205"/>
      <c r="H1119" s="205"/>
      <c r="I1119" s="204">
        <f>SUM(J1119:L1119)</f>
        <v>171.0296</v>
      </c>
      <c r="J1119" s="212">
        <v>171.0296</v>
      </c>
      <c r="K1119" s="205"/>
      <c r="L1119" s="205"/>
      <c r="M1119" s="213" t="s">
        <v>1107</v>
      </c>
      <c r="N1119" s="176">
        <f t="shared" si="474"/>
        <v>171.0296</v>
      </c>
    </row>
    <row r="1120" ht="26.25" customHeight="1" spans="1:14">
      <c r="A1120" s="198" t="s">
        <v>1108</v>
      </c>
      <c r="B1120" s="199" t="s">
        <v>1109</v>
      </c>
      <c r="C1120" s="199"/>
      <c r="D1120" s="200">
        <f t="shared" ref="D1120:L1120" si="492">D1121</f>
        <v>47.482709</v>
      </c>
      <c r="E1120" s="200">
        <f t="shared" si="492"/>
        <v>22.282709</v>
      </c>
      <c r="F1120" s="200">
        <f t="shared" si="492"/>
        <v>22.282709</v>
      </c>
      <c r="G1120" s="200">
        <f t="shared" si="492"/>
        <v>0</v>
      </c>
      <c r="H1120" s="200">
        <f t="shared" si="492"/>
        <v>0</v>
      </c>
      <c r="I1120" s="200">
        <f t="shared" si="492"/>
        <v>25.2</v>
      </c>
      <c r="J1120" s="200">
        <f t="shared" si="492"/>
        <v>25.2</v>
      </c>
      <c r="K1120" s="200">
        <f t="shared" si="492"/>
        <v>0</v>
      </c>
      <c r="L1120" s="200">
        <f t="shared" si="492"/>
        <v>0</v>
      </c>
      <c r="M1120" s="211"/>
      <c r="N1120" s="176">
        <f t="shared" si="474"/>
        <v>47.482709</v>
      </c>
    </row>
    <row r="1121" ht="26.25" customHeight="1" spans="1:14">
      <c r="A1121" s="198" t="s">
        <v>1110</v>
      </c>
      <c r="B1121" s="199" t="s">
        <v>1111</v>
      </c>
      <c r="C1121" s="199"/>
      <c r="D1121" s="200">
        <f t="shared" ref="D1121:L1121" si="493">SUM(D1122:D1123)</f>
        <v>47.482709</v>
      </c>
      <c r="E1121" s="200">
        <f t="shared" si="493"/>
        <v>22.282709</v>
      </c>
      <c r="F1121" s="200">
        <f t="shared" si="493"/>
        <v>22.282709</v>
      </c>
      <c r="G1121" s="200">
        <f t="shared" si="493"/>
        <v>0</v>
      </c>
      <c r="H1121" s="200">
        <f t="shared" si="493"/>
        <v>0</v>
      </c>
      <c r="I1121" s="200">
        <f t="shared" si="493"/>
        <v>25.2</v>
      </c>
      <c r="J1121" s="200">
        <f t="shared" si="493"/>
        <v>25.2</v>
      </c>
      <c r="K1121" s="200">
        <f t="shared" si="493"/>
        <v>0</v>
      </c>
      <c r="L1121" s="200">
        <f t="shared" si="493"/>
        <v>0</v>
      </c>
      <c r="M1121" s="211"/>
      <c r="N1121" s="176">
        <f t="shared" si="474"/>
        <v>47.482709</v>
      </c>
    </row>
    <row r="1122" ht="26.25" customHeight="1" spans="1:14">
      <c r="A1122" s="202"/>
      <c r="B1122" s="203"/>
      <c r="C1122" s="203" t="s">
        <v>541</v>
      </c>
      <c r="D1122" s="200">
        <f t="shared" ref="D1122:D1126" si="494">E1122+I1122</f>
        <v>22.282709</v>
      </c>
      <c r="E1122" s="204">
        <f t="shared" ref="E1122:E1126" si="495">SUM(F1122:H1122)</f>
        <v>22.282709</v>
      </c>
      <c r="F1122" s="205">
        <v>22.282709</v>
      </c>
      <c r="G1122" s="205"/>
      <c r="H1122" s="205"/>
      <c r="I1122" s="204">
        <f t="shared" ref="I1122:I1126" si="496">SUM(J1122:L1122)</f>
        <v>0</v>
      </c>
      <c r="J1122" s="212"/>
      <c r="K1122" s="205"/>
      <c r="L1122" s="205"/>
      <c r="M1122" s="213"/>
      <c r="N1122" s="176">
        <f t="shared" si="474"/>
        <v>22.282709</v>
      </c>
    </row>
    <row r="1123" ht="30" customHeight="1" spans="1:14">
      <c r="A1123" s="202"/>
      <c r="B1123" s="203"/>
      <c r="C1123" s="203" t="s">
        <v>548</v>
      </c>
      <c r="D1123" s="200">
        <f t="shared" si="494"/>
        <v>25.2</v>
      </c>
      <c r="E1123" s="204">
        <f t="shared" si="495"/>
        <v>0</v>
      </c>
      <c r="F1123" s="205"/>
      <c r="G1123" s="205"/>
      <c r="H1123" s="205"/>
      <c r="I1123" s="204">
        <f t="shared" si="496"/>
        <v>25.2</v>
      </c>
      <c r="J1123" s="212">
        <v>25.2</v>
      </c>
      <c r="K1123" s="205"/>
      <c r="L1123" s="205"/>
      <c r="M1123" s="213" t="s">
        <v>1112</v>
      </c>
      <c r="N1123" s="176">
        <f t="shared" ref="N1123:N1186" si="497">J1123+E1123</f>
        <v>25.2</v>
      </c>
    </row>
    <row r="1124" ht="26.25" customHeight="1" spans="1:14">
      <c r="A1124" s="198" t="s">
        <v>1113</v>
      </c>
      <c r="B1124" s="199" t="s">
        <v>1114</v>
      </c>
      <c r="C1124" s="199"/>
      <c r="D1124" s="200">
        <f t="shared" ref="D1124:L1124" si="498">D1125</f>
        <v>1013.1172</v>
      </c>
      <c r="E1124" s="200">
        <f t="shared" si="498"/>
        <v>0</v>
      </c>
      <c r="F1124" s="200">
        <f t="shared" si="498"/>
        <v>0</v>
      </c>
      <c r="G1124" s="200">
        <f t="shared" si="498"/>
        <v>0</v>
      </c>
      <c r="H1124" s="200">
        <f t="shared" si="498"/>
        <v>0</v>
      </c>
      <c r="I1124" s="200">
        <f t="shared" si="498"/>
        <v>1013.1172</v>
      </c>
      <c r="J1124" s="200">
        <f t="shared" si="498"/>
        <v>1013.1172</v>
      </c>
      <c r="K1124" s="200">
        <f t="shared" si="498"/>
        <v>0</v>
      </c>
      <c r="L1124" s="200">
        <f t="shared" si="498"/>
        <v>0</v>
      </c>
      <c r="M1124" s="211"/>
      <c r="N1124" s="176">
        <f t="shared" si="497"/>
        <v>1013.1172</v>
      </c>
    </row>
    <row r="1125" ht="26.25" customHeight="1" spans="1:14">
      <c r="A1125" s="198" t="s">
        <v>1115</v>
      </c>
      <c r="B1125" s="199" t="s">
        <v>1116</v>
      </c>
      <c r="C1125" s="199"/>
      <c r="D1125" s="200">
        <f t="shared" ref="D1125:L1125" si="499">D1126</f>
        <v>1013.1172</v>
      </c>
      <c r="E1125" s="200">
        <f t="shared" si="499"/>
        <v>0</v>
      </c>
      <c r="F1125" s="200">
        <f t="shared" si="499"/>
        <v>0</v>
      </c>
      <c r="G1125" s="200">
        <f t="shared" si="499"/>
        <v>0</v>
      </c>
      <c r="H1125" s="200">
        <f t="shared" si="499"/>
        <v>0</v>
      </c>
      <c r="I1125" s="200">
        <f t="shared" si="499"/>
        <v>1013.1172</v>
      </c>
      <c r="J1125" s="200">
        <f t="shared" si="499"/>
        <v>1013.1172</v>
      </c>
      <c r="K1125" s="200">
        <f t="shared" si="499"/>
        <v>0</v>
      </c>
      <c r="L1125" s="200">
        <f t="shared" si="499"/>
        <v>0</v>
      </c>
      <c r="M1125" s="211"/>
      <c r="N1125" s="176">
        <f t="shared" si="497"/>
        <v>1013.1172</v>
      </c>
    </row>
    <row r="1126" ht="26.25" customHeight="1" spans="1:14">
      <c r="A1126" s="202"/>
      <c r="B1126" s="203"/>
      <c r="C1126" s="203" t="s">
        <v>548</v>
      </c>
      <c r="D1126" s="200">
        <f t="shared" si="494"/>
        <v>1013.1172</v>
      </c>
      <c r="E1126" s="204">
        <f t="shared" si="495"/>
        <v>0</v>
      </c>
      <c r="F1126" s="205"/>
      <c r="G1126" s="205"/>
      <c r="H1126" s="205"/>
      <c r="I1126" s="204">
        <f t="shared" si="496"/>
        <v>1013.1172</v>
      </c>
      <c r="J1126" s="212">
        <v>1013.1172</v>
      </c>
      <c r="K1126" s="205"/>
      <c r="L1126" s="205"/>
      <c r="M1126" s="213" t="s">
        <v>1117</v>
      </c>
      <c r="N1126" s="176">
        <f t="shared" si="497"/>
        <v>1013.1172</v>
      </c>
    </row>
    <row r="1127" ht="26.25" customHeight="1" spans="1:14">
      <c r="A1127" s="217">
        <v>21013</v>
      </c>
      <c r="B1127" s="199" t="s">
        <v>1118</v>
      </c>
      <c r="C1127" s="203"/>
      <c r="D1127" s="200">
        <f t="shared" ref="D1127:L1127" si="500">D1128</f>
        <v>891.004</v>
      </c>
      <c r="E1127" s="200">
        <f t="shared" si="500"/>
        <v>0</v>
      </c>
      <c r="F1127" s="200">
        <f t="shared" si="500"/>
        <v>0</v>
      </c>
      <c r="G1127" s="200">
        <f t="shared" si="500"/>
        <v>0</v>
      </c>
      <c r="H1127" s="200">
        <f t="shared" si="500"/>
        <v>0</v>
      </c>
      <c r="I1127" s="200">
        <f t="shared" si="500"/>
        <v>891.004</v>
      </c>
      <c r="J1127" s="200">
        <f t="shared" si="500"/>
        <v>0</v>
      </c>
      <c r="K1127" s="200">
        <f t="shared" si="500"/>
        <v>1.004</v>
      </c>
      <c r="L1127" s="200">
        <f t="shared" si="500"/>
        <v>890</v>
      </c>
      <c r="M1127" s="213"/>
      <c r="N1127" s="176">
        <f t="shared" si="497"/>
        <v>0</v>
      </c>
    </row>
    <row r="1128" ht="26.25" customHeight="1" spans="1:14">
      <c r="A1128" s="198">
        <v>2101301</v>
      </c>
      <c r="B1128" s="199" t="s">
        <v>1119</v>
      </c>
      <c r="C1128" s="203"/>
      <c r="D1128" s="200">
        <f t="shared" ref="D1128:D1133" si="501">E1128+I1128</f>
        <v>891.004</v>
      </c>
      <c r="E1128" s="204">
        <f t="shared" ref="E1128:E1133" si="502">SUM(F1128:H1128)</f>
        <v>0</v>
      </c>
      <c r="F1128" s="205"/>
      <c r="G1128" s="205"/>
      <c r="H1128" s="205"/>
      <c r="I1128" s="204">
        <f t="shared" ref="I1128:I1133" si="503">SUM(J1128:L1128)</f>
        <v>891.004</v>
      </c>
      <c r="J1128" s="212"/>
      <c r="K1128" s="205">
        <v>1.004</v>
      </c>
      <c r="L1128" s="205">
        <v>890</v>
      </c>
      <c r="M1128" s="213" t="s">
        <v>1120</v>
      </c>
      <c r="N1128" s="176">
        <f t="shared" si="497"/>
        <v>0</v>
      </c>
    </row>
    <row r="1129" ht="26.25" customHeight="1" spans="1:14">
      <c r="A1129" s="198" t="s">
        <v>1121</v>
      </c>
      <c r="B1129" s="199" t="s">
        <v>1122</v>
      </c>
      <c r="C1129" s="199"/>
      <c r="D1129" s="200">
        <f t="shared" ref="D1129:L1129" si="504">D1130+D1132+D1134</f>
        <v>396.981771</v>
      </c>
      <c r="E1129" s="200">
        <f t="shared" si="504"/>
        <v>357.931771</v>
      </c>
      <c r="F1129" s="200">
        <f t="shared" si="504"/>
        <v>334.423651</v>
      </c>
      <c r="G1129" s="200">
        <f t="shared" si="504"/>
        <v>17.49</v>
      </c>
      <c r="H1129" s="200">
        <f t="shared" si="504"/>
        <v>6.01812</v>
      </c>
      <c r="I1129" s="200">
        <f t="shared" si="504"/>
        <v>39.05</v>
      </c>
      <c r="J1129" s="200">
        <f t="shared" si="504"/>
        <v>23.6</v>
      </c>
      <c r="K1129" s="200">
        <f t="shared" si="504"/>
        <v>0</v>
      </c>
      <c r="L1129" s="200">
        <f t="shared" si="504"/>
        <v>15.45</v>
      </c>
      <c r="M1129" s="211"/>
      <c r="N1129" s="176">
        <f t="shared" si="497"/>
        <v>381.531771</v>
      </c>
    </row>
    <row r="1130" ht="26.25" customHeight="1" spans="1:14">
      <c r="A1130" s="222" t="s">
        <v>1123</v>
      </c>
      <c r="B1130" s="199" t="s">
        <v>295</v>
      </c>
      <c r="C1130" s="199"/>
      <c r="D1130" s="200">
        <f t="shared" ref="D1130:L1130" si="505">D1131</f>
        <v>127.47452</v>
      </c>
      <c r="E1130" s="200">
        <f t="shared" si="505"/>
        <v>97.62452</v>
      </c>
      <c r="F1130" s="200">
        <f t="shared" si="505"/>
        <v>86.4404</v>
      </c>
      <c r="G1130" s="200">
        <f t="shared" si="505"/>
        <v>5.88</v>
      </c>
      <c r="H1130" s="200">
        <f t="shared" si="505"/>
        <v>5.30412</v>
      </c>
      <c r="I1130" s="200">
        <f t="shared" si="505"/>
        <v>29.85</v>
      </c>
      <c r="J1130" s="200">
        <f t="shared" si="505"/>
        <v>14.4</v>
      </c>
      <c r="K1130" s="200">
        <f t="shared" si="505"/>
        <v>0</v>
      </c>
      <c r="L1130" s="200">
        <f t="shared" si="505"/>
        <v>15.45</v>
      </c>
      <c r="M1130" s="211"/>
      <c r="N1130" s="176">
        <f t="shared" si="497"/>
        <v>112.02452</v>
      </c>
    </row>
    <row r="1131" ht="31.05" customHeight="1" spans="1:14">
      <c r="A1131" s="202"/>
      <c r="B1131" s="203"/>
      <c r="C1131" s="203" t="s">
        <v>548</v>
      </c>
      <c r="D1131" s="200">
        <f t="shared" si="501"/>
        <v>127.47452</v>
      </c>
      <c r="E1131" s="204">
        <f t="shared" si="502"/>
        <v>97.62452</v>
      </c>
      <c r="F1131" s="205">
        <v>86.4404</v>
      </c>
      <c r="G1131" s="205">
        <v>5.88</v>
      </c>
      <c r="H1131" s="205">
        <v>5.30412</v>
      </c>
      <c r="I1131" s="204">
        <f t="shared" si="503"/>
        <v>29.85</v>
      </c>
      <c r="J1131" s="212">
        <v>14.4</v>
      </c>
      <c r="K1131" s="205"/>
      <c r="L1131" s="205">
        <v>15.45</v>
      </c>
      <c r="M1131" s="213" t="s">
        <v>1124</v>
      </c>
      <c r="N1131" s="176">
        <f t="shared" si="497"/>
        <v>112.02452</v>
      </c>
    </row>
    <row r="1132" ht="26.25" customHeight="1" spans="1:14">
      <c r="A1132" s="222" t="s">
        <v>1125</v>
      </c>
      <c r="B1132" s="199" t="s">
        <v>369</v>
      </c>
      <c r="C1132" s="199"/>
      <c r="D1132" s="200">
        <f t="shared" ref="D1132:L1132" si="506">D1133</f>
        <v>260.307251</v>
      </c>
      <c r="E1132" s="200">
        <f t="shared" si="506"/>
        <v>260.307251</v>
      </c>
      <c r="F1132" s="200">
        <f t="shared" si="506"/>
        <v>247.983251</v>
      </c>
      <c r="G1132" s="200">
        <f t="shared" si="506"/>
        <v>11.61</v>
      </c>
      <c r="H1132" s="200">
        <f t="shared" si="506"/>
        <v>0.714</v>
      </c>
      <c r="I1132" s="200">
        <f t="shared" si="506"/>
        <v>0</v>
      </c>
      <c r="J1132" s="200">
        <f t="shared" si="506"/>
        <v>0</v>
      </c>
      <c r="K1132" s="200">
        <f t="shared" si="506"/>
        <v>0</v>
      </c>
      <c r="L1132" s="200">
        <f t="shared" si="506"/>
        <v>0</v>
      </c>
      <c r="M1132" s="211"/>
      <c r="N1132" s="176">
        <f t="shared" si="497"/>
        <v>260.307251</v>
      </c>
    </row>
    <row r="1133" ht="26.25" customHeight="1" spans="1:14">
      <c r="A1133" s="202"/>
      <c r="B1133" s="203"/>
      <c r="C1133" s="203" t="s">
        <v>548</v>
      </c>
      <c r="D1133" s="200">
        <f t="shared" si="501"/>
        <v>260.307251</v>
      </c>
      <c r="E1133" s="204">
        <f t="shared" si="502"/>
        <v>260.307251</v>
      </c>
      <c r="F1133" s="205">
        <v>247.983251</v>
      </c>
      <c r="G1133" s="205">
        <v>11.61</v>
      </c>
      <c r="H1133" s="205">
        <v>0.714</v>
      </c>
      <c r="I1133" s="204">
        <f t="shared" si="503"/>
        <v>0</v>
      </c>
      <c r="J1133" s="212"/>
      <c r="K1133" s="205"/>
      <c r="L1133" s="205"/>
      <c r="M1133" s="213"/>
      <c r="N1133" s="176">
        <f t="shared" si="497"/>
        <v>260.307251</v>
      </c>
    </row>
    <row r="1134" ht="26.25" customHeight="1" spans="1:14">
      <c r="A1134" s="198" t="s">
        <v>1126</v>
      </c>
      <c r="B1134" s="199" t="s">
        <v>1127</v>
      </c>
      <c r="C1134" s="199"/>
      <c r="D1134" s="200">
        <f t="shared" ref="D1134:L1134" si="507">D1135</f>
        <v>9.2</v>
      </c>
      <c r="E1134" s="200">
        <f t="shared" si="507"/>
        <v>0</v>
      </c>
      <c r="F1134" s="200">
        <f t="shared" si="507"/>
        <v>0</v>
      </c>
      <c r="G1134" s="200">
        <f t="shared" si="507"/>
        <v>0</v>
      </c>
      <c r="H1134" s="200">
        <f t="shared" si="507"/>
        <v>0</v>
      </c>
      <c r="I1134" s="200">
        <f t="shared" si="507"/>
        <v>9.2</v>
      </c>
      <c r="J1134" s="200">
        <f t="shared" si="507"/>
        <v>9.2</v>
      </c>
      <c r="K1134" s="200">
        <f t="shared" si="507"/>
        <v>0</v>
      </c>
      <c r="L1134" s="200">
        <f t="shared" si="507"/>
        <v>0</v>
      </c>
      <c r="M1134" s="211"/>
      <c r="N1134" s="176">
        <f t="shared" si="497"/>
        <v>9.2</v>
      </c>
    </row>
    <row r="1135" ht="26.25" customHeight="1" spans="1:14">
      <c r="A1135" s="202"/>
      <c r="B1135" s="203"/>
      <c r="C1135" s="203" t="s">
        <v>548</v>
      </c>
      <c r="D1135" s="200">
        <f t="shared" ref="D1135:D1140" si="508">E1135+I1135</f>
        <v>9.2</v>
      </c>
      <c r="E1135" s="204">
        <f t="shared" ref="E1135:E1140" si="509">SUM(F1135:H1135)</f>
        <v>0</v>
      </c>
      <c r="F1135" s="205"/>
      <c r="G1135" s="205"/>
      <c r="H1135" s="205"/>
      <c r="I1135" s="204">
        <f t="shared" ref="I1135:I1140" si="510">SUM(J1135:L1135)</f>
        <v>9.2</v>
      </c>
      <c r="J1135" s="212">
        <v>9.2</v>
      </c>
      <c r="K1135" s="205"/>
      <c r="L1135" s="205"/>
      <c r="M1135" s="213" t="s">
        <v>1128</v>
      </c>
      <c r="N1135" s="176">
        <f t="shared" si="497"/>
        <v>9.2</v>
      </c>
    </row>
    <row r="1136" ht="26.25" customHeight="1" spans="1:14">
      <c r="A1136" s="198" t="s">
        <v>1129</v>
      </c>
      <c r="B1136" s="199" t="s">
        <v>1130</v>
      </c>
      <c r="C1136" s="199"/>
      <c r="D1136" s="200">
        <f t="shared" ref="D1136:L1136" si="511">D1137</f>
        <v>7</v>
      </c>
      <c r="E1136" s="200">
        <f t="shared" si="511"/>
        <v>0</v>
      </c>
      <c r="F1136" s="200">
        <f t="shared" si="511"/>
        <v>0</v>
      </c>
      <c r="G1136" s="200">
        <f t="shared" si="511"/>
        <v>0</v>
      </c>
      <c r="H1136" s="200">
        <f t="shared" si="511"/>
        <v>0</v>
      </c>
      <c r="I1136" s="200">
        <f t="shared" si="511"/>
        <v>7</v>
      </c>
      <c r="J1136" s="200">
        <f t="shared" si="511"/>
        <v>7</v>
      </c>
      <c r="K1136" s="200">
        <f t="shared" si="511"/>
        <v>0</v>
      </c>
      <c r="L1136" s="200">
        <f t="shared" si="511"/>
        <v>0</v>
      </c>
      <c r="M1136" s="211"/>
      <c r="N1136" s="176">
        <f t="shared" si="497"/>
        <v>7</v>
      </c>
    </row>
    <row r="1137" ht="26.25" customHeight="1" spans="1:14">
      <c r="A1137" s="198" t="s">
        <v>1131</v>
      </c>
      <c r="B1137" s="199" t="s">
        <v>1130</v>
      </c>
      <c r="C1137" s="199"/>
      <c r="D1137" s="200">
        <f t="shared" ref="D1137:L1137" si="512">D1138</f>
        <v>7</v>
      </c>
      <c r="E1137" s="200">
        <f t="shared" si="512"/>
        <v>0</v>
      </c>
      <c r="F1137" s="200">
        <f t="shared" si="512"/>
        <v>0</v>
      </c>
      <c r="G1137" s="200">
        <f t="shared" si="512"/>
        <v>0</v>
      </c>
      <c r="H1137" s="200">
        <f t="shared" si="512"/>
        <v>0</v>
      </c>
      <c r="I1137" s="200">
        <f t="shared" si="512"/>
        <v>7</v>
      </c>
      <c r="J1137" s="200">
        <f t="shared" si="512"/>
        <v>7</v>
      </c>
      <c r="K1137" s="200">
        <f t="shared" si="512"/>
        <v>0</v>
      </c>
      <c r="L1137" s="200">
        <f t="shared" si="512"/>
        <v>0</v>
      </c>
      <c r="M1137" s="211"/>
      <c r="N1137" s="176">
        <f t="shared" si="497"/>
        <v>7</v>
      </c>
    </row>
    <row r="1138" ht="34.05" customHeight="1" spans="1:14">
      <c r="A1138" s="202"/>
      <c r="B1138" s="203"/>
      <c r="C1138" s="203" t="s">
        <v>544</v>
      </c>
      <c r="D1138" s="200">
        <f t="shared" si="508"/>
        <v>7</v>
      </c>
      <c r="E1138" s="204">
        <f t="shared" si="509"/>
        <v>0</v>
      </c>
      <c r="F1138" s="205"/>
      <c r="G1138" s="205"/>
      <c r="H1138" s="205"/>
      <c r="I1138" s="204">
        <f t="shared" si="510"/>
        <v>7</v>
      </c>
      <c r="J1138" s="212">
        <v>7</v>
      </c>
      <c r="K1138" s="205"/>
      <c r="L1138" s="205"/>
      <c r="M1138" s="213" t="s">
        <v>1132</v>
      </c>
      <c r="N1138" s="176">
        <f t="shared" si="497"/>
        <v>7</v>
      </c>
    </row>
    <row r="1139" ht="26.25" customHeight="1" spans="1:14">
      <c r="A1139" s="217">
        <v>21099</v>
      </c>
      <c r="B1139" s="199" t="s">
        <v>1133</v>
      </c>
      <c r="C1139" s="203"/>
      <c r="D1139" s="200">
        <f t="shared" ref="D1139:L1139" si="513">D1140</f>
        <v>1173.59</v>
      </c>
      <c r="E1139" s="200">
        <f t="shared" si="513"/>
        <v>0</v>
      </c>
      <c r="F1139" s="200">
        <f t="shared" si="513"/>
        <v>0</v>
      </c>
      <c r="G1139" s="200">
        <f t="shared" si="513"/>
        <v>0</v>
      </c>
      <c r="H1139" s="200">
        <f t="shared" si="513"/>
        <v>0</v>
      </c>
      <c r="I1139" s="200">
        <f t="shared" si="513"/>
        <v>1173.59</v>
      </c>
      <c r="J1139" s="200">
        <f t="shared" si="513"/>
        <v>0</v>
      </c>
      <c r="K1139" s="200">
        <f t="shared" si="513"/>
        <v>400</v>
      </c>
      <c r="L1139" s="200">
        <f t="shared" si="513"/>
        <v>773.59</v>
      </c>
      <c r="M1139" s="213"/>
      <c r="N1139" s="176">
        <f t="shared" si="497"/>
        <v>0</v>
      </c>
    </row>
    <row r="1140" ht="26.25" customHeight="1" spans="1:14">
      <c r="A1140" s="217">
        <v>2109999</v>
      </c>
      <c r="B1140" s="199" t="s">
        <v>1133</v>
      </c>
      <c r="C1140" s="203"/>
      <c r="D1140" s="200">
        <f t="shared" si="508"/>
        <v>1173.59</v>
      </c>
      <c r="E1140" s="204">
        <f t="shared" si="509"/>
        <v>0</v>
      </c>
      <c r="F1140" s="205"/>
      <c r="G1140" s="205"/>
      <c r="H1140" s="205"/>
      <c r="I1140" s="204">
        <f t="shared" si="510"/>
        <v>1173.59</v>
      </c>
      <c r="J1140" s="212"/>
      <c r="K1140" s="205">
        <v>400</v>
      </c>
      <c r="L1140" s="205">
        <v>773.59</v>
      </c>
      <c r="M1140" s="213" t="s">
        <v>1134</v>
      </c>
      <c r="N1140" s="176">
        <f t="shared" si="497"/>
        <v>0</v>
      </c>
    </row>
    <row r="1141" ht="26.25" customHeight="1" spans="1:14">
      <c r="A1141" s="198" t="s">
        <v>1135</v>
      </c>
      <c r="B1141" s="199" t="s">
        <v>1136</v>
      </c>
      <c r="C1141" s="199"/>
      <c r="D1141" s="200">
        <f>D1144+D1150+D1143+D1147+D1154+D1157+D1151</f>
        <v>7506.6952</v>
      </c>
      <c r="E1141" s="200">
        <f t="shared" ref="E1141:L1141" si="514">E1144+E1150+E1143+E1147+E1154+E1157+E1151</f>
        <v>5.39</v>
      </c>
      <c r="F1141" s="200">
        <f t="shared" si="514"/>
        <v>5.39</v>
      </c>
      <c r="G1141" s="200">
        <f t="shared" si="514"/>
        <v>0</v>
      </c>
      <c r="H1141" s="200">
        <f t="shared" si="514"/>
        <v>0</v>
      </c>
      <c r="I1141" s="200">
        <f t="shared" si="514"/>
        <v>7501.3052</v>
      </c>
      <c r="J1141" s="200">
        <f t="shared" si="514"/>
        <v>40</v>
      </c>
      <c r="K1141" s="200">
        <f t="shared" si="514"/>
        <v>5912.1352</v>
      </c>
      <c r="L1141" s="200">
        <f t="shared" si="514"/>
        <v>1549.17</v>
      </c>
      <c r="M1141" s="211"/>
      <c r="N1141" s="176">
        <f t="shared" si="497"/>
        <v>45.39</v>
      </c>
    </row>
    <row r="1142" ht="26.25" customHeight="1" spans="1:14">
      <c r="A1142" s="217">
        <v>21101</v>
      </c>
      <c r="B1142" s="199" t="s">
        <v>1137</v>
      </c>
      <c r="C1142" s="199"/>
      <c r="D1142" s="200">
        <f t="shared" ref="D1142:L1142" si="515">D1143</f>
        <v>5.39</v>
      </c>
      <c r="E1142" s="200">
        <f t="shared" si="515"/>
        <v>5.39</v>
      </c>
      <c r="F1142" s="200">
        <f t="shared" si="515"/>
        <v>5.39</v>
      </c>
      <c r="G1142" s="200">
        <f t="shared" si="515"/>
        <v>0</v>
      </c>
      <c r="H1142" s="200">
        <f t="shared" si="515"/>
        <v>0</v>
      </c>
      <c r="I1142" s="200">
        <f t="shared" si="515"/>
        <v>0</v>
      </c>
      <c r="J1142" s="200">
        <f t="shared" si="515"/>
        <v>0</v>
      </c>
      <c r="K1142" s="200">
        <f t="shared" si="515"/>
        <v>0</v>
      </c>
      <c r="L1142" s="200">
        <f t="shared" si="515"/>
        <v>0</v>
      </c>
      <c r="M1142" s="211"/>
      <c r="N1142" s="176">
        <f t="shared" si="497"/>
        <v>5.39</v>
      </c>
    </row>
    <row r="1143" ht="26.25" customHeight="1" spans="1:14">
      <c r="A1143" s="217">
        <v>2110101</v>
      </c>
      <c r="B1143" s="199" t="s">
        <v>295</v>
      </c>
      <c r="C1143" s="199"/>
      <c r="D1143" s="200">
        <f>SUM(E1143,I1143)</f>
        <v>5.39</v>
      </c>
      <c r="E1143" s="200">
        <f>SUM(F1143:H1143)</f>
        <v>5.39</v>
      </c>
      <c r="F1143" s="200">
        <v>5.39</v>
      </c>
      <c r="G1143" s="200"/>
      <c r="H1143" s="200"/>
      <c r="I1143" s="200">
        <f>SUM(J1143:L1143)</f>
        <v>0</v>
      </c>
      <c r="J1143" s="200"/>
      <c r="K1143" s="200"/>
      <c r="L1143" s="200"/>
      <c r="M1143" s="211"/>
      <c r="N1143" s="176">
        <f t="shared" si="497"/>
        <v>5.39</v>
      </c>
    </row>
    <row r="1144" ht="26.25" customHeight="1" spans="1:14">
      <c r="A1144" s="198" t="s">
        <v>1138</v>
      </c>
      <c r="B1144" s="199" t="s">
        <v>1139</v>
      </c>
      <c r="C1144" s="199"/>
      <c r="D1144" s="200">
        <f>D1145</f>
        <v>48.4552</v>
      </c>
      <c r="E1144" s="204">
        <f>SUM(F1144:H1144)</f>
        <v>0</v>
      </c>
      <c r="F1144" s="204"/>
      <c r="G1144" s="204"/>
      <c r="H1144" s="204"/>
      <c r="I1144" s="204">
        <f>SUM(J1144:L1144)</f>
        <v>48.4552</v>
      </c>
      <c r="J1144" s="216">
        <v>40</v>
      </c>
      <c r="K1144" s="204">
        <f>K1145</f>
        <v>8.4552</v>
      </c>
      <c r="L1144" s="204"/>
      <c r="M1144" s="211"/>
      <c r="N1144" s="176">
        <f t="shared" si="497"/>
        <v>40</v>
      </c>
    </row>
    <row r="1145" ht="26.25" customHeight="1" spans="1:14">
      <c r="A1145" s="198" t="s">
        <v>1140</v>
      </c>
      <c r="B1145" s="199" t="s">
        <v>1141</v>
      </c>
      <c r="C1145" s="199"/>
      <c r="D1145" s="200">
        <f>D1146</f>
        <v>48.4552</v>
      </c>
      <c r="E1145" s="204">
        <f>SUM(F1145:H1145)</f>
        <v>0</v>
      </c>
      <c r="F1145" s="204"/>
      <c r="G1145" s="204"/>
      <c r="H1145" s="204"/>
      <c r="I1145" s="204">
        <f>SUM(J1145:L1145)</f>
        <v>48.4552</v>
      </c>
      <c r="J1145" s="216">
        <v>40</v>
      </c>
      <c r="K1145" s="204">
        <f>K1146</f>
        <v>8.4552</v>
      </c>
      <c r="L1145" s="204"/>
      <c r="M1145" s="211"/>
      <c r="N1145" s="176">
        <f t="shared" si="497"/>
        <v>40</v>
      </c>
    </row>
    <row r="1146" ht="86" customHeight="1" spans="1:14">
      <c r="A1146" s="202"/>
      <c r="B1146" s="203"/>
      <c r="C1146" s="203" t="s">
        <v>538</v>
      </c>
      <c r="D1146" s="200">
        <f>E1146+I1146</f>
        <v>48.4552</v>
      </c>
      <c r="E1146" s="204">
        <f>SUM(F1146:H1146)</f>
        <v>0</v>
      </c>
      <c r="F1146" s="205"/>
      <c r="G1146" s="205"/>
      <c r="H1146" s="205"/>
      <c r="I1146" s="204">
        <f>SUM(J1146:L1146)</f>
        <v>48.4552</v>
      </c>
      <c r="J1146" s="212">
        <v>40</v>
      </c>
      <c r="K1146" s="205">
        <v>8.4552</v>
      </c>
      <c r="L1146" s="205"/>
      <c r="M1146" s="213" t="s">
        <v>1142</v>
      </c>
      <c r="N1146" s="176">
        <f t="shared" si="497"/>
        <v>40</v>
      </c>
    </row>
    <row r="1147" ht="26" customHeight="1" spans="1:14">
      <c r="A1147" s="217">
        <v>21103</v>
      </c>
      <c r="B1147" s="199" t="s">
        <v>1143</v>
      </c>
      <c r="C1147" s="203"/>
      <c r="D1147" s="200">
        <f>D1148</f>
        <v>1500</v>
      </c>
      <c r="E1147" s="200">
        <f t="shared" ref="E1147:K1147" si="516">E1148</f>
        <v>0</v>
      </c>
      <c r="F1147" s="200">
        <f t="shared" si="516"/>
        <v>0</v>
      </c>
      <c r="G1147" s="200">
        <f t="shared" si="516"/>
        <v>0</v>
      </c>
      <c r="H1147" s="200">
        <f t="shared" si="516"/>
        <v>0</v>
      </c>
      <c r="I1147" s="200">
        <f t="shared" si="516"/>
        <v>1500</v>
      </c>
      <c r="J1147" s="200">
        <f t="shared" si="516"/>
        <v>0</v>
      </c>
      <c r="K1147" s="200">
        <f t="shared" si="516"/>
        <v>1500</v>
      </c>
      <c r="L1147" s="205"/>
      <c r="M1147" s="213"/>
      <c r="N1147" s="176">
        <f t="shared" si="497"/>
        <v>0</v>
      </c>
    </row>
    <row r="1148" ht="26" customHeight="1" spans="1:14">
      <c r="A1148" s="198">
        <v>2110307</v>
      </c>
      <c r="B1148" s="199" t="s">
        <v>1144</v>
      </c>
      <c r="C1148" s="203"/>
      <c r="D1148" s="200">
        <f>D1149</f>
        <v>1500</v>
      </c>
      <c r="E1148" s="200">
        <f t="shared" ref="E1148:K1148" si="517">E1149</f>
        <v>0</v>
      </c>
      <c r="F1148" s="200">
        <f t="shared" si="517"/>
        <v>0</v>
      </c>
      <c r="G1148" s="200">
        <f t="shared" si="517"/>
        <v>0</v>
      </c>
      <c r="H1148" s="200">
        <f t="shared" si="517"/>
        <v>0</v>
      </c>
      <c r="I1148" s="200">
        <f t="shared" si="517"/>
        <v>1500</v>
      </c>
      <c r="J1148" s="200">
        <f t="shared" si="517"/>
        <v>0</v>
      </c>
      <c r="K1148" s="200">
        <f t="shared" si="517"/>
        <v>1500</v>
      </c>
      <c r="L1148" s="205"/>
      <c r="M1148" s="213"/>
      <c r="N1148" s="176">
        <f t="shared" si="497"/>
        <v>0</v>
      </c>
    </row>
    <row r="1149" ht="37" customHeight="1" spans="1:14">
      <c r="A1149" s="202"/>
      <c r="B1149" s="203"/>
      <c r="C1149" s="203" t="s">
        <v>538</v>
      </c>
      <c r="D1149" s="200">
        <f>E1149+I1149</f>
        <v>1500</v>
      </c>
      <c r="E1149" s="204"/>
      <c r="F1149" s="205"/>
      <c r="G1149" s="205"/>
      <c r="H1149" s="205"/>
      <c r="I1149" s="204">
        <f>K1149</f>
        <v>1500</v>
      </c>
      <c r="J1149" s="212"/>
      <c r="K1149" s="205">
        <v>1500</v>
      </c>
      <c r="L1149" s="205"/>
      <c r="M1149" s="213"/>
      <c r="N1149" s="176">
        <f t="shared" si="497"/>
        <v>0</v>
      </c>
    </row>
    <row r="1150" ht="26" customHeight="1" spans="1:14">
      <c r="A1150" s="222">
        <v>2110499</v>
      </c>
      <c r="B1150" s="199" t="s">
        <v>1145</v>
      </c>
      <c r="C1150" s="203"/>
      <c r="D1150" s="200">
        <f>E1150+I1150</f>
        <v>4299.17</v>
      </c>
      <c r="E1150" s="204">
        <f>SUM(F1150:H1150)</f>
        <v>0</v>
      </c>
      <c r="F1150" s="205"/>
      <c r="G1150" s="205"/>
      <c r="H1150" s="205"/>
      <c r="I1150" s="204">
        <f>SUM(J1150:L1150)</f>
        <v>4299.17</v>
      </c>
      <c r="J1150" s="212"/>
      <c r="K1150" s="205">
        <v>2750</v>
      </c>
      <c r="L1150" s="205">
        <v>1549.17</v>
      </c>
      <c r="M1150" s="213" t="s">
        <v>1146</v>
      </c>
      <c r="N1150" s="176">
        <f t="shared" si="497"/>
        <v>0</v>
      </c>
    </row>
    <row r="1151" ht="26" customHeight="1" spans="1:14">
      <c r="A1151" s="217">
        <v>21105</v>
      </c>
      <c r="B1151" s="199" t="s">
        <v>1147</v>
      </c>
      <c r="C1151" s="203"/>
      <c r="D1151" s="200">
        <f>D1152</f>
        <v>43.68</v>
      </c>
      <c r="E1151" s="200">
        <f t="shared" ref="E1151:L1151" si="518">E1152</f>
        <v>0</v>
      </c>
      <c r="F1151" s="200">
        <f t="shared" si="518"/>
        <v>0</v>
      </c>
      <c r="G1151" s="200">
        <f t="shared" si="518"/>
        <v>0</v>
      </c>
      <c r="H1151" s="200">
        <f t="shared" si="518"/>
        <v>0</v>
      </c>
      <c r="I1151" s="200">
        <f t="shared" si="518"/>
        <v>43.68</v>
      </c>
      <c r="J1151" s="200">
        <f t="shared" si="518"/>
        <v>0</v>
      </c>
      <c r="K1151" s="200">
        <f t="shared" si="518"/>
        <v>43.68</v>
      </c>
      <c r="L1151" s="200">
        <f t="shared" si="518"/>
        <v>0</v>
      </c>
      <c r="M1151" s="213"/>
      <c r="N1151" s="176">
        <f t="shared" si="497"/>
        <v>0</v>
      </c>
    </row>
    <row r="1152" ht="26" customHeight="1" spans="1:14">
      <c r="A1152" s="222">
        <v>2110507</v>
      </c>
      <c r="B1152" s="199" t="s">
        <v>1148</v>
      </c>
      <c r="C1152" s="203"/>
      <c r="D1152" s="200">
        <f>D1153</f>
        <v>43.68</v>
      </c>
      <c r="E1152" s="200">
        <f t="shared" ref="E1152:L1152" si="519">E1153</f>
        <v>0</v>
      </c>
      <c r="F1152" s="200">
        <f t="shared" si="519"/>
        <v>0</v>
      </c>
      <c r="G1152" s="200">
        <f t="shared" si="519"/>
        <v>0</v>
      </c>
      <c r="H1152" s="200">
        <f t="shared" si="519"/>
        <v>0</v>
      </c>
      <c r="I1152" s="200">
        <f t="shared" si="519"/>
        <v>43.68</v>
      </c>
      <c r="J1152" s="200">
        <f t="shared" si="519"/>
        <v>0</v>
      </c>
      <c r="K1152" s="200">
        <f t="shared" si="519"/>
        <v>43.68</v>
      </c>
      <c r="L1152" s="200">
        <f t="shared" si="519"/>
        <v>0</v>
      </c>
      <c r="M1152" s="213"/>
      <c r="N1152" s="176">
        <f t="shared" si="497"/>
        <v>0</v>
      </c>
    </row>
    <row r="1153" ht="26" customHeight="1" spans="1:14">
      <c r="A1153" s="222"/>
      <c r="B1153" s="199"/>
      <c r="C1153" s="203" t="s">
        <v>550</v>
      </c>
      <c r="D1153" s="200">
        <f>E1153+I1153</f>
        <v>43.68</v>
      </c>
      <c r="E1153" s="204"/>
      <c r="F1153" s="205"/>
      <c r="G1153" s="205"/>
      <c r="H1153" s="205"/>
      <c r="I1153" s="204">
        <f>K1153</f>
        <v>43.68</v>
      </c>
      <c r="J1153" s="212"/>
      <c r="K1153" s="205">
        <v>43.68</v>
      </c>
      <c r="L1153" s="205"/>
      <c r="M1153" s="213"/>
      <c r="N1153" s="176">
        <f t="shared" si="497"/>
        <v>0</v>
      </c>
    </row>
    <row r="1154" ht="26" customHeight="1" spans="1:14">
      <c r="A1154" s="217">
        <v>21110</v>
      </c>
      <c r="B1154" s="199" t="s">
        <v>1149</v>
      </c>
      <c r="C1154" s="203"/>
      <c r="D1154" s="200">
        <f>D1155</f>
        <v>650</v>
      </c>
      <c r="E1154" s="200">
        <f t="shared" ref="E1154:K1154" si="520">E1155</f>
        <v>0</v>
      </c>
      <c r="F1154" s="200">
        <f t="shared" si="520"/>
        <v>0</v>
      </c>
      <c r="G1154" s="200">
        <f t="shared" si="520"/>
        <v>0</v>
      </c>
      <c r="H1154" s="200">
        <f t="shared" si="520"/>
        <v>0</v>
      </c>
      <c r="I1154" s="200">
        <f t="shared" si="520"/>
        <v>650</v>
      </c>
      <c r="J1154" s="200">
        <f t="shared" si="520"/>
        <v>0</v>
      </c>
      <c r="K1154" s="200">
        <f t="shared" si="520"/>
        <v>650</v>
      </c>
      <c r="L1154" s="205"/>
      <c r="M1154" s="213"/>
      <c r="N1154" s="176">
        <f t="shared" si="497"/>
        <v>0</v>
      </c>
    </row>
    <row r="1155" ht="26" customHeight="1" spans="1:14">
      <c r="A1155" s="222">
        <v>2111001</v>
      </c>
      <c r="B1155" s="199" t="s">
        <v>1149</v>
      </c>
      <c r="C1155" s="203"/>
      <c r="D1155" s="200">
        <f>D1156</f>
        <v>650</v>
      </c>
      <c r="E1155" s="200">
        <f t="shared" ref="E1155:K1155" si="521">E1156</f>
        <v>0</v>
      </c>
      <c r="F1155" s="200">
        <f t="shared" si="521"/>
        <v>0</v>
      </c>
      <c r="G1155" s="200">
        <f t="shared" si="521"/>
        <v>0</v>
      </c>
      <c r="H1155" s="200">
        <f t="shared" si="521"/>
        <v>0</v>
      </c>
      <c r="I1155" s="200">
        <f t="shared" si="521"/>
        <v>650</v>
      </c>
      <c r="J1155" s="200">
        <f t="shared" si="521"/>
        <v>0</v>
      </c>
      <c r="K1155" s="200">
        <f t="shared" si="521"/>
        <v>650</v>
      </c>
      <c r="L1155" s="205"/>
      <c r="M1155" s="213"/>
      <c r="N1155" s="176">
        <f t="shared" si="497"/>
        <v>0</v>
      </c>
    </row>
    <row r="1156" ht="26" customHeight="1" spans="1:14">
      <c r="A1156" s="217"/>
      <c r="B1156" s="199"/>
      <c r="C1156" s="203" t="s">
        <v>1150</v>
      </c>
      <c r="D1156" s="200">
        <f>E1156+I1156</f>
        <v>650</v>
      </c>
      <c r="E1156" s="204"/>
      <c r="F1156" s="205"/>
      <c r="G1156" s="205"/>
      <c r="H1156" s="205"/>
      <c r="I1156" s="204">
        <f>K1156</f>
        <v>650</v>
      </c>
      <c r="J1156" s="212"/>
      <c r="K1156" s="205">
        <v>650</v>
      </c>
      <c r="L1156" s="205"/>
      <c r="M1156" s="213"/>
      <c r="N1156" s="176">
        <f t="shared" si="497"/>
        <v>0</v>
      </c>
    </row>
    <row r="1157" ht="26" customHeight="1" spans="1:14">
      <c r="A1157" s="217">
        <v>21199</v>
      </c>
      <c r="B1157" s="199" t="s">
        <v>1151</v>
      </c>
      <c r="C1157" s="203"/>
      <c r="D1157" s="200">
        <f>D1158</f>
        <v>960</v>
      </c>
      <c r="E1157" s="200">
        <f t="shared" ref="E1157:K1157" si="522">E1158</f>
        <v>0</v>
      </c>
      <c r="F1157" s="200">
        <f t="shared" si="522"/>
        <v>0</v>
      </c>
      <c r="G1157" s="200">
        <f t="shared" si="522"/>
        <v>0</v>
      </c>
      <c r="H1157" s="200">
        <f t="shared" si="522"/>
        <v>0</v>
      </c>
      <c r="I1157" s="200">
        <f t="shared" si="522"/>
        <v>960</v>
      </c>
      <c r="J1157" s="200">
        <f t="shared" si="522"/>
        <v>0</v>
      </c>
      <c r="K1157" s="200">
        <f t="shared" si="522"/>
        <v>960</v>
      </c>
      <c r="L1157" s="205"/>
      <c r="M1157" s="213"/>
      <c r="N1157" s="176">
        <f t="shared" si="497"/>
        <v>0</v>
      </c>
    </row>
    <row r="1158" ht="26" customHeight="1" spans="1:14">
      <c r="A1158" s="222">
        <v>2119999</v>
      </c>
      <c r="B1158" s="199" t="s">
        <v>1151</v>
      </c>
      <c r="C1158" s="203"/>
      <c r="D1158" s="200">
        <f>D1159</f>
        <v>960</v>
      </c>
      <c r="E1158" s="200">
        <f t="shared" ref="E1158:K1158" si="523">E1159</f>
        <v>0</v>
      </c>
      <c r="F1158" s="200">
        <f t="shared" si="523"/>
        <v>0</v>
      </c>
      <c r="G1158" s="200">
        <f t="shared" si="523"/>
        <v>0</v>
      </c>
      <c r="H1158" s="200">
        <f t="shared" si="523"/>
        <v>0</v>
      </c>
      <c r="I1158" s="200">
        <f t="shared" si="523"/>
        <v>960</v>
      </c>
      <c r="J1158" s="200">
        <f t="shared" si="523"/>
        <v>0</v>
      </c>
      <c r="K1158" s="200">
        <f t="shared" si="523"/>
        <v>960</v>
      </c>
      <c r="L1158" s="205"/>
      <c r="M1158" s="213"/>
      <c r="N1158" s="176">
        <f t="shared" si="497"/>
        <v>0</v>
      </c>
    </row>
    <row r="1159" ht="26" customHeight="1" spans="1:14">
      <c r="A1159" s="217"/>
      <c r="B1159" s="199"/>
      <c r="C1159" s="203" t="s">
        <v>550</v>
      </c>
      <c r="D1159" s="200">
        <f>E1159+I1159</f>
        <v>960</v>
      </c>
      <c r="E1159" s="204"/>
      <c r="F1159" s="205"/>
      <c r="G1159" s="205"/>
      <c r="H1159" s="205"/>
      <c r="I1159" s="204">
        <f>K1159</f>
        <v>960</v>
      </c>
      <c r="J1159" s="212"/>
      <c r="K1159" s="205">
        <v>960</v>
      </c>
      <c r="L1159" s="205"/>
      <c r="M1159" s="213"/>
      <c r="N1159" s="176">
        <f t="shared" si="497"/>
        <v>0</v>
      </c>
    </row>
    <row r="1160" ht="26.25" customHeight="1" spans="1:14">
      <c r="A1160" s="198" t="s">
        <v>1152</v>
      </c>
      <c r="B1160" s="199" t="s">
        <v>1153</v>
      </c>
      <c r="C1160" s="199"/>
      <c r="D1160" s="200">
        <f t="shared" ref="D1160:L1160" si="524">SUM(D1161,D1170,D1173,D1177,D1181)</f>
        <v>6137.084562</v>
      </c>
      <c r="E1160" s="200">
        <f t="shared" si="524"/>
        <v>2274.594562</v>
      </c>
      <c r="F1160" s="200">
        <f t="shared" si="524"/>
        <v>2132.308342</v>
      </c>
      <c r="G1160" s="200">
        <f t="shared" si="524"/>
        <v>108.6345</v>
      </c>
      <c r="H1160" s="200">
        <f t="shared" si="524"/>
        <v>33.65172</v>
      </c>
      <c r="I1160" s="200">
        <f t="shared" si="524"/>
        <v>3862.49</v>
      </c>
      <c r="J1160" s="200">
        <f t="shared" si="524"/>
        <v>2916.98</v>
      </c>
      <c r="K1160" s="200">
        <f t="shared" si="524"/>
        <v>945.51</v>
      </c>
      <c r="L1160" s="200">
        <f t="shared" si="524"/>
        <v>0</v>
      </c>
      <c r="M1160" s="211"/>
      <c r="N1160" s="176">
        <f t="shared" si="497"/>
        <v>5191.574562</v>
      </c>
    </row>
    <row r="1161" ht="26.25" customHeight="1" spans="1:14">
      <c r="A1161" s="198" t="s">
        <v>1154</v>
      </c>
      <c r="B1161" s="199" t="s">
        <v>1155</v>
      </c>
      <c r="C1161" s="199"/>
      <c r="D1161" s="200">
        <f>SUM(D1162,D1166,D1168)</f>
        <v>1005.286732</v>
      </c>
      <c r="E1161" s="200">
        <f t="shared" ref="E1161:L1161" si="525">SUM(E1162,E1166,E1168)</f>
        <v>927.436732</v>
      </c>
      <c r="F1161" s="200">
        <f t="shared" si="525"/>
        <v>841.312252</v>
      </c>
      <c r="G1161" s="200">
        <f t="shared" si="525"/>
        <v>71.022</v>
      </c>
      <c r="H1161" s="200">
        <f t="shared" si="525"/>
        <v>15.10248</v>
      </c>
      <c r="I1161" s="200">
        <f t="shared" si="525"/>
        <v>77.85</v>
      </c>
      <c r="J1161" s="200">
        <f t="shared" si="525"/>
        <v>77.85</v>
      </c>
      <c r="K1161" s="200">
        <f t="shared" si="525"/>
        <v>0</v>
      </c>
      <c r="L1161" s="200">
        <f t="shared" si="525"/>
        <v>0</v>
      </c>
      <c r="M1161" s="211"/>
      <c r="N1161" s="176">
        <f t="shared" si="497"/>
        <v>1005.286732</v>
      </c>
    </row>
    <row r="1162" ht="26.25" customHeight="1" spans="1:14">
      <c r="A1162" s="198" t="s">
        <v>1156</v>
      </c>
      <c r="B1162" s="199" t="s">
        <v>295</v>
      </c>
      <c r="C1162" s="199"/>
      <c r="D1162" s="200">
        <f t="shared" ref="D1162:L1162" si="526">SUM(D1163:D1165)</f>
        <v>457.055166</v>
      </c>
      <c r="E1162" s="200">
        <f t="shared" si="526"/>
        <v>390.425166</v>
      </c>
      <c r="F1162" s="200">
        <f t="shared" si="526"/>
        <v>354.466686</v>
      </c>
      <c r="G1162" s="200">
        <f t="shared" si="526"/>
        <v>20.862</v>
      </c>
      <c r="H1162" s="200">
        <f t="shared" si="526"/>
        <v>15.09648</v>
      </c>
      <c r="I1162" s="200">
        <f t="shared" si="526"/>
        <v>66.63</v>
      </c>
      <c r="J1162" s="200">
        <f t="shared" si="526"/>
        <v>66.63</v>
      </c>
      <c r="K1162" s="200">
        <f t="shared" si="526"/>
        <v>0</v>
      </c>
      <c r="L1162" s="200">
        <f t="shared" si="526"/>
        <v>0</v>
      </c>
      <c r="M1162" s="211"/>
      <c r="N1162" s="176">
        <f t="shared" si="497"/>
        <v>457.055166</v>
      </c>
    </row>
    <row r="1163" ht="42" customHeight="1" spans="1:14">
      <c r="A1163" s="202"/>
      <c r="B1163" s="203"/>
      <c r="C1163" s="203" t="s">
        <v>535</v>
      </c>
      <c r="D1163" s="200">
        <f t="shared" ref="D1163:D1165" si="527">E1163+I1163</f>
        <v>216.739566</v>
      </c>
      <c r="E1163" s="204">
        <f t="shared" ref="E1163:E1165" si="528">SUM(F1163:H1163)</f>
        <v>182.109566</v>
      </c>
      <c r="F1163" s="205">
        <v>152.487086</v>
      </c>
      <c r="G1163" s="205">
        <v>17.526</v>
      </c>
      <c r="H1163" s="205">
        <v>12.09648</v>
      </c>
      <c r="I1163" s="204">
        <f t="shared" ref="I1163:I1165" si="529">SUM(J1163:L1163)</f>
        <v>34.63</v>
      </c>
      <c r="J1163" s="212">
        <v>34.63</v>
      </c>
      <c r="K1163" s="205"/>
      <c r="L1163" s="205"/>
      <c r="M1163" s="213" t="s">
        <v>1157</v>
      </c>
      <c r="N1163" s="176">
        <f t="shared" si="497"/>
        <v>216.739566</v>
      </c>
    </row>
    <row r="1164" ht="26.25" customHeight="1" spans="1:14">
      <c r="A1164" s="202"/>
      <c r="B1164" s="203"/>
      <c r="C1164" s="203" t="s">
        <v>536</v>
      </c>
      <c r="D1164" s="200">
        <f t="shared" si="527"/>
        <v>3</v>
      </c>
      <c r="E1164" s="204">
        <f t="shared" si="528"/>
        <v>3</v>
      </c>
      <c r="F1164" s="205"/>
      <c r="G1164" s="205"/>
      <c r="H1164" s="205">
        <v>3</v>
      </c>
      <c r="I1164" s="204">
        <f t="shared" si="529"/>
        <v>0</v>
      </c>
      <c r="J1164" s="212"/>
      <c r="K1164" s="205"/>
      <c r="L1164" s="205"/>
      <c r="M1164" s="213"/>
      <c r="N1164" s="176">
        <f t="shared" si="497"/>
        <v>3</v>
      </c>
    </row>
    <row r="1165" ht="26.25" customHeight="1" spans="1:14">
      <c r="A1165" s="202"/>
      <c r="B1165" s="203"/>
      <c r="C1165" s="203" t="s">
        <v>541</v>
      </c>
      <c r="D1165" s="200">
        <f t="shared" si="527"/>
        <v>237.3156</v>
      </c>
      <c r="E1165" s="204">
        <f t="shared" si="528"/>
        <v>205.3156</v>
      </c>
      <c r="F1165" s="205">
        <v>201.9796</v>
      </c>
      <c r="G1165" s="205">
        <v>3.336</v>
      </c>
      <c r="H1165" s="205"/>
      <c r="I1165" s="204">
        <f t="shared" si="529"/>
        <v>32</v>
      </c>
      <c r="J1165" s="212">
        <v>32</v>
      </c>
      <c r="K1165" s="205"/>
      <c r="L1165" s="205"/>
      <c r="M1165" s="213" t="s">
        <v>1158</v>
      </c>
      <c r="N1165" s="176">
        <f t="shared" si="497"/>
        <v>237.3156</v>
      </c>
    </row>
    <row r="1166" ht="26.25" customHeight="1" spans="1:14">
      <c r="A1166" s="198" t="s">
        <v>1159</v>
      </c>
      <c r="B1166" s="199" t="s">
        <v>1160</v>
      </c>
      <c r="C1166" s="199"/>
      <c r="D1166" s="200">
        <f t="shared" ref="D1166:L1166" si="530">D1167</f>
        <v>471.674659</v>
      </c>
      <c r="E1166" s="200">
        <f t="shared" si="530"/>
        <v>464.454659</v>
      </c>
      <c r="F1166" s="200">
        <f t="shared" si="530"/>
        <v>414.288659</v>
      </c>
      <c r="G1166" s="200">
        <f t="shared" si="530"/>
        <v>50.16</v>
      </c>
      <c r="H1166" s="200">
        <f t="shared" si="530"/>
        <v>0.006</v>
      </c>
      <c r="I1166" s="200">
        <f t="shared" si="530"/>
        <v>7.22</v>
      </c>
      <c r="J1166" s="200">
        <f t="shared" si="530"/>
        <v>7.22</v>
      </c>
      <c r="K1166" s="200">
        <f t="shared" si="530"/>
        <v>0</v>
      </c>
      <c r="L1166" s="200">
        <f t="shared" si="530"/>
        <v>0</v>
      </c>
      <c r="M1166" s="211"/>
      <c r="N1166" s="176">
        <f t="shared" si="497"/>
        <v>471.674659</v>
      </c>
    </row>
    <row r="1167" ht="40" customHeight="1" spans="1:14">
      <c r="A1167" s="202"/>
      <c r="B1167" s="203"/>
      <c r="C1167" s="203" t="s">
        <v>541</v>
      </c>
      <c r="D1167" s="200">
        <f t="shared" ref="D1167:D1172" si="531">E1167+I1167</f>
        <v>471.674659</v>
      </c>
      <c r="E1167" s="204">
        <f t="shared" ref="E1167:E1172" si="532">SUM(F1167:H1167)</f>
        <v>464.454659</v>
      </c>
      <c r="F1167" s="205">
        <v>414.288659</v>
      </c>
      <c r="G1167" s="205">
        <v>50.16</v>
      </c>
      <c r="H1167" s="205">
        <v>0.006</v>
      </c>
      <c r="I1167" s="204">
        <f t="shared" ref="I1167:I1172" si="533">SUM(J1167:L1167)</f>
        <v>7.22</v>
      </c>
      <c r="J1167" s="212">
        <v>7.22</v>
      </c>
      <c r="K1167" s="205"/>
      <c r="L1167" s="205"/>
      <c r="M1167" s="213" t="s">
        <v>1161</v>
      </c>
      <c r="N1167" s="176">
        <f t="shared" si="497"/>
        <v>471.674659</v>
      </c>
    </row>
    <row r="1168" ht="26.25" customHeight="1" spans="1:14">
      <c r="A1168" s="198" t="s">
        <v>1162</v>
      </c>
      <c r="B1168" s="199" t="s">
        <v>1163</v>
      </c>
      <c r="C1168" s="199"/>
      <c r="D1168" s="200">
        <f t="shared" ref="D1168:L1168" si="534">D1169</f>
        <v>76.556907</v>
      </c>
      <c r="E1168" s="200">
        <f t="shared" si="534"/>
        <v>72.556907</v>
      </c>
      <c r="F1168" s="200">
        <f t="shared" si="534"/>
        <v>72.556907</v>
      </c>
      <c r="G1168" s="200">
        <f t="shared" si="534"/>
        <v>0</v>
      </c>
      <c r="H1168" s="200">
        <f t="shared" si="534"/>
        <v>0</v>
      </c>
      <c r="I1168" s="200">
        <f t="shared" si="534"/>
        <v>4</v>
      </c>
      <c r="J1168" s="200">
        <f t="shared" si="534"/>
        <v>4</v>
      </c>
      <c r="K1168" s="200">
        <f t="shared" si="534"/>
        <v>0</v>
      </c>
      <c r="L1168" s="200">
        <f t="shared" si="534"/>
        <v>0</v>
      </c>
      <c r="M1168" s="211"/>
      <c r="N1168" s="176">
        <f t="shared" si="497"/>
        <v>76.556907</v>
      </c>
    </row>
    <row r="1169" ht="26.25" customHeight="1" spans="1:14">
      <c r="A1169" s="202"/>
      <c r="B1169" s="203"/>
      <c r="C1169" s="203" t="s">
        <v>535</v>
      </c>
      <c r="D1169" s="200">
        <f t="shared" si="531"/>
        <v>76.556907</v>
      </c>
      <c r="E1169" s="204">
        <f t="shared" si="532"/>
        <v>72.556907</v>
      </c>
      <c r="F1169" s="205">
        <v>72.556907</v>
      </c>
      <c r="G1169" s="205"/>
      <c r="H1169" s="205"/>
      <c r="I1169" s="204">
        <f t="shared" si="533"/>
        <v>4</v>
      </c>
      <c r="J1169" s="212">
        <v>4</v>
      </c>
      <c r="K1169" s="205"/>
      <c r="L1169" s="205"/>
      <c r="M1169" s="213" t="s">
        <v>1164</v>
      </c>
      <c r="N1169" s="176">
        <f t="shared" si="497"/>
        <v>76.556907</v>
      </c>
    </row>
    <row r="1170" ht="26.25" customHeight="1" spans="1:14">
      <c r="A1170" s="198" t="s">
        <v>1165</v>
      </c>
      <c r="B1170" s="199" t="s">
        <v>1166</v>
      </c>
      <c r="C1170" s="199"/>
      <c r="D1170" s="200">
        <f t="shared" ref="D1170:L1170" si="535">D1171</f>
        <v>12</v>
      </c>
      <c r="E1170" s="200">
        <f t="shared" si="535"/>
        <v>0</v>
      </c>
      <c r="F1170" s="200">
        <f t="shared" si="535"/>
        <v>0</v>
      </c>
      <c r="G1170" s="200">
        <f t="shared" si="535"/>
        <v>0</v>
      </c>
      <c r="H1170" s="200">
        <f t="shared" si="535"/>
        <v>0</v>
      </c>
      <c r="I1170" s="200">
        <f t="shared" si="535"/>
        <v>12</v>
      </c>
      <c r="J1170" s="200">
        <f t="shared" si="535"/>
        <v>12</v>
      </c>
      <c r="K1170" s="200">
        <f t="shared" si="535"/>
        <v>0</v>
      </c>
      <c r="L1170" s="200">
        <f t="shared" si="535"/>
        <v>0</v>
      </c>
      <c r="M1170" s="211"/>
      <c r="N1170" s="176">
        <f t="shared" si="497"/>
        <v>12</v>
      </c>
    </row>
    <row r="1171" ht="26.25" customHeight="1" spans="1:14">
      <c r="A1171" s="198" t="s">
        <v>1167</v>
      </c>
      <c r="B1171" s="199" t="s">
        <v>1168</v>
      </c>
      <c r="C1171" s="199"/>
      <c r="D1171" s="200">
        <f t="shared" ref="D1171:L1171" si="536">D1172</f>
        <v>12</v>
      </c>
      <c r="E1171" s="200">
        <f t="shared" si="536"/>
        <v>0</v>
      </c>
      <c r="F1171" s="200">
        <f t="shared" si="536"/>
        <v>0</v>
      </c>
      <c r="G1171" s="200">
        <f t="shared" si="536"/>
        <v>0</v>
      </c>
      <c r="H1171" s="200">
        <f t="shared" si="536"/>
        <v>0</v>
      </c>
      <c r="I1171" s="200">
        <f t="shared" si="536"/>
        <v>12</v>
      </c>
      <c r="J1171" s="200">
        <f t="shared" si="536"/>
        <v>12</v>
      </c>
      <c r="K1171" s="200">
        <f t="shared" si="536"/>
        <v>0</v>
      </c>
      <c r="L1171" s="200">
        <f t="shared" si="536"/>
        <v>0</v>
      </c>
      <c r="M1171" s="211"/>
      <c r="N1171" s="176">
        <f t="shared" si="497"/>
        <v>12</v>
      </c>
    </row>
    <row r="1172" ht="26.25" customHeight="1" spans="1:14">
      <c r="A1172" s="202"/>
      <c r="B1172" s="203"/>
      <c r="C1172" s="203" t="s">
        <v>541</v>
      </c>
      <c r="D1172" s="200">
        <f t="shared" si="531"/>
        <v>12</v>
      </c>
      <c r="E1172" s="204">
        <f t="shared" si="532"/>
        <v>0</v>
      </c>
      <c r="F1172" s="205"/>
      <c r="G1172" s="205"/>
      <c r="H1172" s="205"/>
      <c r="I1172" s="204">
        <f t="shared" si="533"/>
        <v>12</v>
      </c>
      <c r="J1172" s="212">
        <v>12</v>
      </c>
      <c r="K1172" s="205"/>
      <c r="L1172" s="205"/>
      <c r="M1172" s="213" t="s">
        <v>1169</v>
      </c>
      <c r="N1172" s="176">
        <f t="shared" si="497"/>
        <v>12</v>
      </c>
    </row>
    <row r="1173" ht="26.25" customHeight="1" spans="1:14">
      <c r="A1173" s="198" t="s">
        <v>1170</v>
      </c>
      <c r="B1173" s="199" t="s">
        <v>1171</v>
      </c>
      <c r="C1173" s="199"/>
      <c r="D1173" s="200">
        <f t="shared" ref="D1173:L1173" si="537">D1174</f>
        <v>3054.356731</v>
      </c>
      <c r="E1173" s="200">
        <f t="shared" si="537"/>
        <v>240.376731</v>
      </c>
      <c r="F1173" s="200">
        <f t="shared" si="537"/>
        <v>229.580931</v>
      </c>
      <c r="G1173" s="200">
        <f t="shared" si="537"/>
        <v>3.36</v>
      </c>
      <c r="H1173" s="200">
        <f t="shared" si="537"/>
        <v>7.4358</v>
      </c>
      <c r="I1173" s="200">
        <f t="shared" si="537"/>
        <v>2813.98</v>
      </c>
      <c r="J1173" s="200">
        <f t="shared" si="537"/>
        <v>2168.47</v>
      </c>
      <c r="K1173" s="200">
        <f t="shared" si="537"/>
        <v>645.51</v>
      </c>
      <c r="L1173" s="200">
        <f t="shared" si="537"/>
        <v>0</v>
      </c>
      <c r="M1173" s="211"/>
      <c r="N1173" s="176">
        <f t="shared" si="497"/>
        <v>2408.846731</v>
      </c>
    </row>
    <row r="1174" ht="26.25" customHeight="1" spans="1:14">
      <c r="A1174" s="198" t="s">
        <v>1172</v>
      </c>
      <c r="B1174" s="199" t="s">
        <v>1171</v>
      </c>
      <c r="C1174" s="199"/>
      <c r="D1174" s="200">
        <f t="shared" ref="D1174:L1174" si="538">SUM(D1175:D1176)</f>
        <v>3054.356731</v>
      </c>
      <c r="E1174" s="200">
        <f t="shared" si="538"/>
        <v>240.376731</v>
      </c>
      <c r="F1174" s="200">
        <f t="shared" si="538"/>
        <v>229.580931</v>
      </c>
      <c r="G1174" s="200">
        <f t="shared" si="538"/>
        <v>3.36</v>
      </c>
      <c r="H1174" s="200">
        <f t="shared" si="538"/>
        <v>7.4358</v>
      </c>
      <c r="I1174" s="200">
        <f t="shared" si="538"/>
        <v>2813.98</v>
      </c>
      <c r="J1174" s="200">
        <f t="shared" si="538"/>
        <v>2168.47</v>
      </c>
      <c r="K1174" s="200">
        <f t="shared" si="538"/>
        <v>645.51</v>
      </c>
      <c r="L1174" s="200">
        <f t="shared" si="538"/>
        <v>0</v>
      </c>
      <c r="M1174" s="211"/>
      <c r="N1174" s="176">
        <f t="shared" si="497"/>
        <v>2408.846731</v>
      </c>
    </row>
    <row r="1175" ht="131" customHeight="1" spans="1:14">
      <c r="A1175" s="202"/>
      <c r="B1175" s="203"/>
      <c r="C1175" s="203" t="s">
        <v>537</v>
      </c>
      <c r="D1175" s="200">
        <f t="shared" ref="D1175:D1180" si="539">E1175+I1175</f>
        <v>1841.356731</v>
      </c>
      <c r="E1175" s="204">
        <f t="shared" ref="E1175:E1180" si="540">SUM(F1175:H1175)</f>
        <v>240.376731</v>
      </c>
      <c r="F1175" s="205">
        <v>229.580931</v>
      </c>
      <c r="G1175" s="205">
        <v>3.36</v>
      </c>
      <c r="H1175" s="205">
        <v>7.4358</v>
      </c>
      <c r="I1175" s="204">
        <f t="shared" ref="I1175:I1180" si="541">SUM(J1175:L1175)</f>
        <v>1600.98</v>
      </c>
      <c r="J1175" s="212">
        <v>955.47</v>
      </c>
      <c r="K1175" s="205">
        <v>645.51</v>
      </c>
      <c r="L1175" s="205"/>
      <c r="M1175" s="213" t="s">
        <v>1173</v>
      </c>
      <c r="N1175" s="176">
        <f t="shared" si="497"/>
        <v>1195.846731</v>
      </c>
    </row>
    <row r="1176" ht="26.25" customHeight="1" spans="1:14">
      <c r="A1176" s="202"/>
      <c r="B1176" s="203"/>
      <c r="C1176" s="203"/>
      <c r="D1176" s="200">
        <f t="shared" si="539"/>
        <v>1213</v>
      </c>
      <c r="E1176" s="204">
        <f t="shared" si="540"/>
        <v>0</v>
      </c>
      <c r="F1176" s="205"/>
      <c r="G1176" s="205"/>
      <c r="H1176" s="205"/>
      <c r="I1176" s="204">
        <f t="shared" si="541"/>
        <v>1213</v>
      </c>
      <c r="J1176" s="216">
        <v>1213</v>
      </c>
      <c r="K1176" s="205"/>
      <c r="L1176" s="205"/>
      <c r="M1176" s="213" t="s">
        <v>1174</v>
      </c>
      <c r="N1176" s="176">
        <f t="shared" si="497"/>
        <v>1213</v>
      </c>
    </row>
    <row r="1177" ht="26.25" customHeight="1" spans="1:14">
      <c r="A1177" s="198" t="s">
        <v>1175</v>
      </c>
      <c r="B1177" s="199" t="s">
        <v>1176</v>
      </c>
      <c r="C1177" s="199"/>
      <c r="D1177" s="200">
        <f t="shared" ref="D1177:L1177" si="542">D1178</f>
        <v>187.309303</v>
      </c>
      <c r="E1177" s="200">
        <f t="shared" si="542"/>
        <v>148.649303</v>
      </c>
      <c r="F1177" s="200">
        <f t="shared" si="542"/>
        <v>133.479863</v>
      </c>
      <c r="G1177" s="200">
        <f t="shared" si="542"/>
        <v>4.08</v>
      </c>
      <c r="H1177" s="200">
        <f t="shared" si="542"/>
        <v>11.08944</v>
      </c>
      <c r="I1177" s="200">
        <f t="shared" si="542"/>
        <v>38.66</v>
      </c>
      <c r="J1177" s="200">
        <f t="shared" si="542"/>
        <v>38.66</v>
      </c>
      <c r="K1177" s="200">
        <f t="shared" si="542"/>
        <v>0</v>
      </c>
      <c r="L1177" s="200">
        <f t="shared" si="542"/>
        <v>0</v>
      </c>
      <c r="M1177" s="211"/>
      <c r="N1177" s="176">
        <f t="shared" si="497"/>
        <v>187.309303</v>
      </c>
    </row>
    <row r="1178" ht="26.25" customHeight="1" spans="1:14">
      <c r="A1178" s="198" t="s">
        <v>1177</v>
      </c>
      <c r="B1178" s="199" t="s">
        <v>1176</v>
      </c>
      <c r="C1178" s="199"/>
      <c r="D1178" s="200">
        <f t="shared" ref="D1178:L1178" si="543">SUM(D1179:D1180)</f>
        <v>187.309303</v>
      </c>
      <c r="E1178" s="200">
        <f t="shared" si="543"/>
        <v>148.649303</v>
      </c>
      <c r="F1178" s="200">
        <f t="shared" si="543"/>
        <v>133.479863</v>
      </c>
      <c r="G1178" s="200">
        <f t="shared" si="543"/>
        <v>4.08</v>
      </c>
      <c r="H1178" s="200">
        <f t="shared" si="543"/>
        <v>11.08944</v>
      </c>
      <c r="I1178" s="200">
        <f t="shared" si="543"/>
        <v>38.66</v>
      </c>
      <c r="J1178" s="200">
        <f t="shared" si="543"/>
        <v>38.66</v>
      </c>
      <c r="K1178" s="200">
        <f t="shared" si="543"/>
        <v>0</v>
      </c>
      <c r="L1178" s="200">
        <f t="shared" si="543"/>
        <v>0</v>
      </c>
      <c r="M1178" s="211"/>
      <c r="N1178" s="176">
        <f t="shared" si="497"/>
        <v>187.309303</v>
      </c>
    </row>
    <row r="1179" ht="26.25" customHeight="1" spans="1:14">
      <c r="A1179" s="202"/>
      <c r="B1179" s="203"/>
      <c r="C1179" s="203" t="s">
        <v>535</v>
      </c>
      <c r="D1179" s="200">
        <f t="shared" si="539"/>
        <v>4</v>
      </c>
      <c r="E1179" s="204">
        <f t="shared" si="540"/>
        <v>0</v>
      </c>
      <c r="F1179" s="205"/>
      <c r="G1179" s="205"/>
      <c r="H1179" s="205"/>
      <c r="I1179" s="204">
        <f t="shared" si="541"/>
        <v>4</v>
      </c>
      <c r="J1179" s="212">
        <v>4</v>
      </c>
      <c r="K1179" s="205"/>
      <c r="L1179" s="205"/>
      <c r="M1179" s="213" t="s">
        <v>1178</v>
      </c>
      <c r="N1179" s="176">
        <f t="shared" si="497"/>
        <v>4</v>
      </c>
    </row>
    <row r="1180" ht="65" customHeight="1" spans="1:14">
      <c r="A1180" s="202"/>
      <c r="B1180" s="203"/>
      <c r="C1180" s="203" t="s">
        <v>541</v>
      </c>
      <c r="D1180" s="200">
        <f t="shared" si="539"/>
        <v>183.309303</v>
      </c>
      <c r="E1180" s="204">
        <f t="shared" si="540"/>
        <v>148.649303</v>
      </c>
      <c r="F1180" s="205">
        <v>133.479863</v>
      </c>
      <c r="G1180" s="205">
        <v>4.08</v>
      </c>
      <c r="H1180" s="205">
        <v>11.08944</v>
      </c>
      <c r="I1180" s="204">
        <f t="shared" si="541"/>
        <v>34.66</v>
      </c>
      <c r="J1180" s="212">
        <v>34.66</v>
      </c>
      <c r="K1180" s="205"/>
      <c r="L1180" s="205"/>
      <c r="M1180" s="213" t="s">
        <v>1179</v>
      </c>
      <c r="N1180" s="176">
        <f t="shared" si="497"/>
        <v>183.309303</v>
      </c>
    </row>
    <row r="1181" ht="26.25" customHeight="1" spans="1:14">
      <c r="A1181" s="198" t="s">
        <v>1180</v>
      </c>
      <c r="B1181" s="199" t="s">
        <v>1181</v>
      </c>
      <c r="C1181" s="199"/>
      <c r="D1181" s="200">
        <f>D1182</f>
        <v>1878.131796</v>
      </c>
      <c r="E1181" s="200">
        <f t="shared" ref="D1181:L1181" si="544">E1182</f>
        <v>958.131796</v>
      </c>
      <c r="F1181" s="200">
        <f t="shared" si="544"/>
        <v>927.935296</v>
      </c>
      <c r="G1181" s="200">
        <f t="shared" si="544"/>
        <v>30.1725</v>
      </c>
      <c r="H1181" s="200">
        <f t="shared" si="544"/>
        <v>0.024</v>
      </c>
      <c r="I1181" s="200">
        <f t="shared" si="544"/>
        <v>920</v>
      </c>
      <c r="J1181" s="200">
        <f t="shared" si="544"/>
        <v>620</v>
      </c>
      <c r="K1181" s="200">
        <f t="shared" si="544"/>
        <v>300</v>
      </c>
      <c r="L1181" s="200">
        <f t="shared" si="544"/>
        <v>0</v>
      </c>
      <c r="M1181" s="211"/>
      <c r="N1181" s="176">
        <f t="shared" si="497"/>
        <v>1578.131796</v>
      </c>
    </row>
    <row r="1182" ht="26.25" customHeight="1" spans="1:14">
      <c r="A1182" s="198" t="s">
        <v>1182</v>
      </c>
      <c r="B1182" s="199" t="s">
        <v>1181</v>
      </c>
      <c r="C1182" s="199"/>
      <c r="D1182" s="200">
        <f>D1183+D1184</f>
        <v>1878.131796</v>
      </c>
      <c r="E1182" s="200">
        <f t="shared" ref="E1182:L1182" si="545">E1183+E1184</f>
        <v>958.131796</v>
      </c>
      <c r="F1182" s="200">
        <f t="shared" si="545"/>
        <v>927.935296</v>
      </c>
      <c r="G1182" s="200">
        <f t="shared" si="545"/>
        <v>30.1725</v>
      </c>
      <c r="H1182" s="200">
        <f t="shared" si="545"/>
        <v>0.024</v>
      </c>
      <c r="I1182" s="200">
        <f t="shared" si="545"/>
        <v>920</v>
      </c>
      <c r="J1182" s="200">
        <f t="shared" si="545"/>
        <v>620</v>
      </c>
      <c r="K1182" s="200">
        <f t="shared" si="545"/>
        <v>300</v>
      </c>
      <c r="L1182" s="200">
        <f t="shared" si="545"/>
        <v>0</v>
      </c>
      <c r="M1182" s="211"/>
      <c r="N1182" s="176">
        <f t="shared" si="497"/>
        <v>1578.131796</v>
      </c>
    </row>
    <row r="1183" ht="26.25" customHeight="1" spans="1:13">
      <c r="A1183" s="198"/>
      <c r="B1183" s="199"/>
      <c r="C1183" s="203" t="s">
        <v>1183</v>
      </c>
      <c r="D1183" s="200">
        <f>E1183+I1183</f>
        <v>958.131796</v>
      </c>
      <c r="E1183" s="200">
        <f>SUM(F1183:H1183)</f>
        <v>958.131796</v>
      </c>
      <c r="F1183" s="200">
        <v>927.935296</v>
      </c>
      <c r="G1183" s="200">
        <v>30.1725</v>
      </c>
      <c r="H1183" s="200">
        <v>0.024</v>
      </c>
      <c r="I1183" s="200">
        <f>J1183+K1183+L1183</f>
        <v>0</v>
      </c>
      <c r="J1183" s="200"/>
      <c r="K1183" s="200"/>
      <c r="L1183" s="200"/>
      <c r="M1183" s="211"/>
    </row>
    <row r="1184" ht="26.25" customHeight="1" spans="1:14">
      <c r="A1184" s="202"/>
      <c r="B1184" s="203"/>
      <c r="C1184" s="203"/>
      <c r="D1184" s="200">
        <f>E1184+I1184</f>
        <v>920</v>
      </c>
      <c r="E1184" s="204">
        <f>SUM(F1184:H1184)</f>
        <v>0</v>
      </c>
      <c r="F1184" s="205"/>
      <c r="G1184" s="205"/>
      <c r="H1184" s="205"/>
      <c r="I1184" s="204">
        <f>SUM(J1184:L1184)</f>
        <v>920</v>
      </c>
      <c r="J1184" s="212">
        <f>440+180</f>
        <v>620</v>
      </c>
      <c r="K1184" s="205">
        <v>300</v>
      </c>
      <c r="L1184" s="205"/>
      <c r="M1184" s="213" t="s">
        <v>1184</v>
      </c>
      <c r="N1184" s="176">
        <f t="shared" ref="N1184:N1189" si="546">J1184+E1184</f>
        <v>620</v>
      </c>
    </row>
    <row r="1185" ht="26.25" customHeight="1" spans="1:17">
      <c r="A1185" s="198" t="s">
        <v>1185</v>
      </c>
      <c r="B1185" s="199" t="s">
        <v>1186</v>
      </c>
      <c r="C1185" s="199"/>
      <c r="D1185" s="200">
        <f t="shared" ref="D1185:L1185" si="547">SUM(D1186,D1225,D1247,D1260,D1271,D1277,D1280)</f>
        <v>77560.25863</v>
      </c>
      <c r="E1185" s="200">
        <f t="shared" si="547"/>
        <v>10890.92743</v>
      </c>
      <c r="F1185" s="200">
        <f t="shared" si="547"/>
        <v>9697.03427</v>
      </c>
      <c r="G1185" s="200">
        <f t="shared" si="547"/>
        <v>850.53</v>
      </c>
      <c r="H1185" s="200">
        <f t="shared" si="547"/>
        <v>343.36316</v>
      </c>
      <c r="I1185" s="200">
        <f t="shared" si="547"/>
        <v>66669.3312</v>
      </c>
      <c r="J1185" s="200">
        <f t="shared" si="547"/>
        <v>4602.49</v>
      </c>
      <c r="K1185" s="200">
        <f t="shared" si="547"/>
        <v>22499.5112</v>
      </c>
      <c r="L1185" s="200">
        <f t="shared" si="547"/>
        <v>39567.33</v>
      </c>
      <c r="M1185" s="211"/>
      <c r="N1185" s="176">
        <f t="shared" si="546"/>
        <v>15493.41743</v>
      </c>
      <c r="Q1185" s="176">
        <f>J1185+E1185</f>
        <v>15493.41743</v>
      </c>
    </row>
    <row r="1186" ht="26.25" customHeight="1" spans="1:14">
      <c r="A1186" s="198" t="s">
        <v>1187</v>
      </c>
      <c r="B1186" s="199" t="s">
        <v>1188</v>
      </c>
      <c r="C1186" s="199"/>
      <c r="D1186" s="200">
        <f t="shared" ref="D1186:L1186" si="548">D1187+D1189+D1198+D1202+D1204+D1206+D1208+D1212+D1214+D1218+D1221+D1216+D1217+D1220+D1210</f>
        <v>14505.89634</v>
      </c>
      <c r="E1186" s="200">
        <f t="shared" si="548"/>
        <v>3537.18274</v>
      </c>
      <c r="F1186" s="200">
        <f t="shared" si="548"/>
        <v>3186.88622</v>
      </c>
      <c r="G1186" s="200">
        <f t="shared" si="548"/>
        <v>196.9435</v>
      </c>
      <c r="H1186" s="200">
        <f t="shared" si="548"/>
        <v>153.35302</v>
      </c>
      <c r="I1186" s="200">
        <f t="shared" si="548"/>
        <v>10968.7136</v>
      </c>
      <c r="J1186" s="200">
        <f t="shared" si="548"/>
        <v>305.32</v>
      </c>
      <c r="K1186" s="200">
        <f t="shared" si="548"/>
        <v>6100.3936</v>
      </c>
      <c r="L1186" s="200">
        <f t="shared" si="548"/>
        <v>4563</v>
      </c>
      <c r="M1186" s="211"/>
      <c r="N1186" s="176">
        <f t="shared" si="546"/>
        <v>3842.50274</v>
      </c>
    </row>
    <row r="1187" ht="26.25" customHeight="1" spans="1:14">
      <c r="A1187" s="198" t="s">
        <v>1189</v>
      </c>
      <c r="B1187" s="199" t="s">
        <v>295</v>
      </c>
      <c r="C1187" s="199"/>
      <c r="D1187" s="200">
        <f t="shared" ref="D1187:L1187" si="549">SUM(D1188:D1188)</f>
        <v>561.29205</v>
      </c>
      <c r="E1187" s="200">
        <f t="shared" si="549"/>
        <v>561.29205</v>
      </c>
      <c r="F1187" s="200">
        <f t="shared" si="549"/>
        <v>496.66205</v>
      </c>
      <c r="G1187" s="200">
        <f t="shared" si="549"/>
        <v>63.63</v>
      </c>
      <c r="H1187" s="200">
        <f t="shared" si="549"/>
        <v>1</v>
      </c>
      <c r="I1187" s="200">
        <f t="shared" si="549"/>
        <v>0</v>
      </c>
      <c r="J1187" s="200">
        <f t="shared" si="549"/>
        <v>0</v>
      </c>
      <c r="K1187" s="200">
        <f t="shared" si="549"/>
        <v>0</v>
      </c>
      <c r="L1187" s="200">
        <f t="shared" si="549"/>
        <v>0</v>
      </c>
      <c r="M1187" s="211"/>
      <c r="N1187" s="176">
        <f t="shared" si="546"/>
        <v>561.29205</v>
      </c>
    </row>
    <row r="1188" ht="26.25" customHeight="1" spans="1:14">
      <c r="A1188" s="202"/>
      <c r="B1188" s="203"/>
      <c r="C1188" s="203" t="s">
        <v>549</v>
      </c>
      <c r="D1188" s="200">
        <f>E1188+I1188</f>
        <v>561.29205</v>
      </c>
      <c r="E1188" s="204">
        <f>SUM(F1188:H1188)</f>
        <v>561.29205</v>
      </c>
      <c r="F1188" s="205">
        <v>496.66205</v>
      </c>
      <c r="G1188" s="205">
        <v>63.63</v>
      </c>
      <c r="H1188" s="205">
        <v>1</v>
      </c>
      <c r="I1188" s="204">
        <f>SUM(J1188:L1188)</f>
        <v>0</v>
      </c>
      <c r="J1188" s="212"/>
      <c r="K1188" s="205"/>
      <c r="L1188" s="205"/>
      <c r="M1188" s="213"/>
      <c r="N1188" s="176">
        <f t="shared" si="546"/>
        <v>561.29205</v>
      </c>
    </row>
    <row r="1189" ht="26.25" customHeight="1" spans="1:14">
      <c r="A1189" s="198" t="s">
        <v>1190</v>
      </c>
      <c r="B1189" s="199" t="s">
        <v>369</v>
      </c>
      <c r="C1189" s="199"/>
      <c r="D1189" s="200">
        <f>SUM(D1190:D1197)</f>
        <v>3030.96069</v>
      </c>
      <c r="E1189" s="200">
        <f t="shared" ref="E1189:L1189" si="550">SUM(E1190:E1197)</f>
        <v>2975.89069</v>
      </c>
      <c r="F1189" s="200">
        <f t="shared" si="550"/>
        <v>2690.22417</v>
      </c>
      <c r="G1189" s="200">
        <f t="shared" si="550"/>
        <v>133.3135</v>
      </c>
      <c r="H1189" s="200">
        <f t="shared" si="550"/>
        <v>152.35302</v>
      </c>
      <c r="I1189" s="200">
        <f t="shared" si="550"/>
        <v>55.07</v>
      </c>
      <c r="J1189" s="200">
        <f t="shared" si="550"/>
        <v>55.07</v>
      </c>
      <c r="K1189" s="200">
        <f t="shared" si="550"/>
        <v>0</v>
      </c>
      <c r="L1189" s="200">
        <f t="shared" si="550"/>
        <v>0</v>
      </c>
      <c r="M1189" s="211"/>
      <c r="N1189" s="176">
        <f t="shared" si="546"/>
        <v>3030.96069</v>
      </c>
    </row>
    <row r="1190" ht="26.25" customHeight="1" spans="1:13">
      <c r="A1190" s="198"/>
      <c r="B1190" s="199"/>
      <c r="C1190" s="199"/>
      <c r="D1190" s="200">
        <f t="shared" ref="D1190:D1197" si="551">E1190+I1190</f>
        <v>1741.509396</v>
      </c>
      <c r="E1190" s="204">
        <f t="shared" ref="E1190:E1197" si="552">SUM(F1190:H1190)</f>
        <v>1737.519396</v>
      </c>
      <c r="F1190" s="200">
        <v>1578.577916</v>
      </c>
      <c r="G1190" s="200">
        <v>56.4175</v>
      </c>
      <c r="H1190" s="200">
        <v>102.52398</v>
      </c>
      <c r="I1190" s="204">
        <f t="shared" ref="I1190:I1197" si="553">SUM(J1190:L1190)</f>
        <v>3.99</v>
      </c>
      <c r="J1190" s="200">
        <v>3.99</v>
      </c>
      <c r="K1190" s="200">
        <v>0</v>
      </c>
      <c r="L1190" s="200">
        <v>0</v>
      </c>
      <c r="M1190" s="211"/>
    </row>
    <row r="1191" ht="120" customHeight="1" spans="1:14">
      <c r="A1191" s="202"/>
      <c r="B1191" s="203"/>
      <c r="C1191" s="203" t="s">
        <v>552</v>
      </c>
      <c r="D1191" s="200">
        <f t="shared" si="551"/>
        <v>92.129729</v>
      </c>
      <c r="E1191" s="204">
        <f t="shared" si="552"/>
        <v>80.579729</v>
      </c>
      <c r="F1191" s="205">
        <v>67.549729</v>
      </c>
      <c r="G1191" s="205">
        <v>9.142</v>
      </c>
      <c r="H1191" s="205">
        <v>3.888</v>
      </c>
      <c r="I1191" s="204">
        <f t="shared" si="553"/>
        <v>11.55</v>
      </c>
      <c r="J1191" s="212">
        <v>11.55</v>
      </c>
      <c r="K1191" s="205"/>
      <c r="L1191" s="205"/>
      <c r="M1191" s="213" t="s">
        <v>1191</v>
      </c>
      <c r="N1191" s="176">
        <f>J1191+E1191</f>
        <v>92.129729</v>
      </c>
    </row>
    <row r="1192" ht="26.25" customHeight="1" spans="1:14">
      <c r="A1192" s="202"/>
      <c r="B1192" s="203"/>
      <c r="C1192" s="203" t="s">
        <v>553</v>
      </c>
      <c r="D1192" s="200">
        <f t="shared" si="551"/>
        <v>101.343621</v>
      </c>
      <c r="E1192" s="204">
        <f t="shared" si="552"/>
        <v>85.243621</v>
      </c>
      <c r="F1192" s="205">
        <v>72.053621</v>
      </c>
      <c r="G1192" s="205">
        <v>10.688</v>
      </c>
      <c r="H1192" s="205">
        <v>2.502</v>
      </c>
      <c r="I1192" s="204">
        <f t="shared" si="553"/>
        <v>16.1</v>
      </c>
      <c r="J1192" s="212">
        <v>16.1</v>
      </c>
      <c r="K1192" s="205"/>
      <c r="L1192" s="205"/>
      <c r="M1192" s="213" t="s">
        <v>1192</v>
      </c>
      <c r="N1192" s="176">
        <f>J1192+E1192</f>
        <v>101.343621</v>
      </c>
    </row>
    <row r="1193" ht="26.25" customHeight="1" spans="1:14">
      <c r="A1193" s="202"/>
      <c r="B1193" s="203"/>
      <c r="C1193" s="203" t="s">
        <v>554</v>
      </c>
      <c r="D1193" s="200">
        <f t="shared" si="551"/>
        <v>298.510688</v>
      </c>
      <c r="E1193" s="204">
        <f t="shared" si="552"/>
        <v>298.510688</v>
      </c>
      <c r="F1193" s="205">
        <v>253.185548</v>
      </c>
      <c r="G1193" s="205">
        <v>22.8405</v>
      </c>
      <c r="H1193" s="205">
        <v>22.48464</v>
      </c>
      <c r="I1193" s="204">
        <f t="shared" si="553"/>
        <v>0</v>
      </c>
      <c r="J1193" s="212"/>
      <c r="K1193" s="205"/>
      <c r="L1193" s="205"/>
      <c r="M1193" s="213"/>
      <c r="N1193" s="176">
        <f>J1193+E1193</f>
        <v>298.510688</v>
      </c>
    </row>
    <row r="1194" ht="57" customHeight="1" spans="1:14">
      <c r="A1194" s="202"/>
      <c r="B1194" s="203"/>
      <c r="C1194" s="203" t="s">
        <v>555</v>
      </c>
      <c r="D1194" s="200">
        <f t="shared" si="551"/>
        <v>162.154593</v>
      </c>
      <c r="E1194" s="204">
        <f t="shared" si="552"/>
        <v>152.524593</v>
      </c>
      <c r="F1194" s="205">
        <v>129.962953</v>
      </c>
      <c r="G1194" s="205">
        <v>12.428</v>
      </c>
      <c r="H1194" s="205">
        <v>10.13364</v>
      </c>
      <c r="I1194" s="204">
        <f t="shared" si="553"/>
        <v>9.63</v>
      </c>
      <c r="J1194" s="212">
        <v>9.63</v>
      </c>
      <c r="K1194" s="205"/>
      <c r="L1194" s="205"/>
      <c r="M1194" s="213" t="s">
        <v>1193</v>
      </c>
      <c r="N1194" s="176">
        <f>J1194+E1194</f>
        <v>162.154593</v>
      </c>
    </row>
    <row r="1195" ht="57" customHeight="1" spans="1:14">
      <c r="A1195" s="202"/>
      <c r="B1195" s="203"/>
      <c r="C1195" s="203" t="s">
        <v>556</v>
      </c>
      <c r="D1195" s="200">
        <f t="shared" si="551"/>
        <v>62.370089</v>
      </c>
      <c r="E1195" s="204">
        <f t="shared" si="552"/>
        <v>56.570089</v>
      </c>
      <c r="F1195" s="205">
        <v>48.300089</v>
      </c>
      <c r="G1195" s="205">
        <v>7.07</v>
      </c>
      <c r="H1195" s="205">
        <v>1.2</v>
      </c>
      <c r="I1195" s="204">
        <f t="shared" si="553"/>
        <v>5.8</v>
      </c>
      <c r="J1195" s="212">
        <v>5.8</v>
      </c>
      <c r="K1195" s="205"/>
      <c r="L1195" s="205"/>
      <c r="M1195" s="213"/>
      <c r="N1195" s="176">
        <f>J1195+E1195</f>
        <v>62.370089</v>
      </c>
    </row>
    <row r="1196" ht="28" customHeight="1" spans="1:13">
      <c r="A1196" s="202"/>
      <c r="B1196" s="203"/>
      <c r="C1196" s="203" t="s">
        <v>1194</v>
      </c>
      <c r="D1196" s="223">
        <f t="shared" si="551"/>
        <v>129.60712</v>
      </c>
      <c r="E1196" s="204">
        <f t="shared" si="552"/>
        <v>121.60712</v>
      </c>
      <c r="F1196" s="205">
        <v>108.73636</v>
      </c>
      <c r="G1196" s="205">
        <v>3.25</v>
      </c>
      <c r="H1196" s="205">
        <v>9.62076</v>
      </c>
      <c r="I1196" s="204">
        <f t="shared" si="553"/>
        <v>8</v>
      </c>
      <c r="J1196" s="212">
        <v>8</v>
      </c>
      <c r="K1196" s="205"/>
      <c r="L1196" s="205"/>
      <c r="M1196" s="213"/>
    </row>
    <row r="1197" ht="23" customHeight="1" spans="1:13">
      <c r="A1197" s="202"/>
      <c r="B1197" s="203"/>
      <c r="C1197" s="203" t="s">
        <v>1195</v>
      </c>
      <c r="D1197" s="200">
        <f t="shared" si="551"/>
        <v>443.335454</v>
      </c>
      <c r="E1197" s="204">
        <f t="shared" si="552"/>
        <v>443.335454</v>
      </c>
      <c r="F1197" s="205">
        <f>336.457954+20.7+25.55+157.89-108.74</f>
        <v>431.857954</v>
      </c>
      <c r="G1197" s="205">
        <f>11.1975+0.48+0.72+2.33-3.25</f>
        <v>11.4775</v>
      </c>
      <c r="H1197" s="205"/>
      <c r="I1197" s="204">
        <f t="shared" si="553"/>
        <v>0</v>
      </c>
      <c r="J1197" s="212"/>
      <c r="K1197" s="212">
        <v>0</v>
      </c>
      <c r="L1197" s="212">
        <v>0</v>
      </c>
      <c r="M1197" s="213"/>
    </row>
    <row r="1198" ht="26.25" customHeight="1" spans="1:14">
      <c r="A1198" s="198" t="s">
        <v>1196</v>
      </c>
      <c r="B1198" s="199" t="s">
        <v>1197</v>
      </c>
      <c r="C1198" s="199"/>
      <c r="D1198" s="200">
        <f t="shared" ref="D1198:L1198" si="554">SUM(D1199:D1201)</f>
        <v>31.88</v>
      </c>
      <c r="E1198" s="200">
        <f t="shared" si="554"/>
        <v>0</v>
      </c>
      <c r="F1198" s="200">
        <f t="shared" si="554"/>
        <v>0</v>
      </c>
      <c r="G1198" s="200">
        <f t="shared" si="554"/>
        <v>0</v>
      </c>
      <c r="H1198" s="200">
        <f t="shared" si="554"/>
        <v>0</v>
      </c>
      <c r="I1198" s="200">
        <f t="shared" si="554"/>
        <v>31.88</v>
      </c>
      <c r="J1198" s="200">
        <f t="shared" si="554"/>
        <v>6.88</v>
      </c>
      <c r="K1198" s="200">
        <f t="shared" si="554"/>
        <v>0</v>
      </c>
      <c r="L1198" s="200">
        <f t="shared" si="554"/>
        <v>25</v>
      </c>
      <c r="M1198" s="211"/>
      <c r="N1198" s="176">
        <f t="shared" ref="N1198:N1261" si="555">J1198+E1198</f>
        <v>6.88</v>
      </c>
    </row>
    <row r="1199" ht="26.25" customHeight="1" spans="1:14">
      <c r="A1199" s="202"/>
      <c r="B1199" s="203"/>
      <c r="C1199" s="203" t="s">
        <v>549</v>
      </c>
      <c r="D1199" s="200">
        <f t="shared" ref="D1199:D1201" si="556">E1199+I1199</f>
        <v>5.28</v>
      </c>
      <c r="E1199" s="204">
        <f t="shared" ref="E1199:E1201" si="557">SUM(F1199:H1199)</f>
        <v>0</v>
      </c>
      <c r="F1199" s="205"/>
      <c r="G1199" s="205"/>
      <c r="H1199" s="205"/>
      <c r="I1199" s="204">
        <f t="shared" ref="I1199:I1201" si="558">SUM(J1199:L1199)</f>
        <v>5.28</v>
      </c>
      <c r="J1199" s="212">
        <v>5.28</v>
      </c>
      <c r="K1199" s="205"/>
      <c r="L1199" s="205"/>
      <c r="M1199" s="213" t="s">
        <v>1198</v>
      </c>
      <c r="N1199" s="176">
        <f t="shared" si="555"/>
        <v>5.28</v>
      </c>
    </row>
    <row r="1200" ht="26.25" customHeight="1" spans="1:14">
      <c r="A1200" s="202"/>
      <c r="B1200" s="203"/>
      <c r="C1200" s="203" t="s">
        <v>554</v>
      </c>
      <c r="D1200" s="200">
        <f t="shared" si="556"/>
        <v>1.6</v>
      </c>
      <c r="E1200" s="204">
        <f t="shared" si="557"/>
        <v>0</v>
      </c>
      <c r="F1200" s="205"/>
      <c r="G1200" s="205"/>
      <c r="H1200" s="205"/>
      <c r="I1200" s="204">
        <f t="shared" si="558"/>
        <v>1.6</v>
      </c>
      <c r="J1200" s="212">
        <v>1.6</v>
      </c>
      <c r="K1200" s="205"/>
      <c r="L1200" s="205"/>
      <c r="M1200" s="213" t="s">
        <v>1199</v>
      </c>
      <c r="N1200" s="176">
        <f t="shared" si="555"/>
        <v>1.6</v>
      </c>
    </row>
    <row r="1201" ht="26.25" customHeight="1" spans="1:14">
      <c r="A1201" s="202"/>
      <c r="B1201" s="203"/>
      <c r="C1201" s="203"/>
      <c r="D1201" s="200">
        <f t="shared" si="556"/>
        <v>25</v>
      </c>
      <c r="E1201" s="204">
        <f t="shared" si="557"/>
        <v>0</v>
      </c>
      <c r="F1201" s="205"/>
      <c r="G1201" s="205"/>
      <c r="H1201" s="205"/>
      <c r="I1201" s="204">
        <f t="shared" si="558"/>
        <v>25</v>
      </c>
      <c r="J1201" s="212"/>
      <c r="K1201" s="205"/>
      <c r="L1201" s="205">
        <v>25</v>
      </c>
      <c r="M1201" s="213" t="s">
        <v>1200</v>
      </c>
      <c r="N1201" s="176">
        <f t="shared" si="555"/>
        <v>0</v>
      </c>
    </row>
    <row r="1202" ht="26.25" customHeight="1" spans="1:14">
      <c r="A1202" s="198" t="s">
        <v>1201</v>
      </c>
      <c r="B1202" s="199" t="s">
        <v>1202</v>
      </c>
      <c r="C1202" s="199"/>
      <c r="D1202" s="200">
        <f t="shared" ref="D1202:L1202" si="559">D1203</f>
        <v>144.42</v>
      </c>
      <c r="E1202" s="200">
        <f t="shared" si="559"/>
        <v>0</v>
      </c>
      <c r="F1202" s="200">
        <f t="shared" si="559"/>
        <v>0</v>
      </c>
      <c r="G1202" s="200">
        <f t="shared" si="559"/>
        <v>0</v>
      </c>
      <c r="H1202" s="200">
        <f t="shared" si="559"/>
        <v>0</v>
      </c>
      <c r="I1202" s="200">
        <f t="shared" si="559"/>
        <v>144.42</v>
      </c>
      <c r="J1202" s="200">
        <f t="shared" si="559"/>
        <v>76.42</v>
      </c>
      <c r="K1202" s="200">
        <f t="shared" si="559"/>
        <v>1</v>
      </c>
      <c r="L1202" s="200">
        <f t="shared" si="559"/>
        <v>67</v>
      </c>
      <c r="M1202" s="211"/>
      <c r="N1202" s="176">
        <f t="shared" si="555"/>
        <v>76.42</v>
      </c>
    </row>
    <row r="1203" ht="84" customHeight="1" spans="1:14">
      <c r="A1203" s="202"/>
      <c r="B1203" s="203"/>
      <c r="C1203" s="203" t="s">
        <v>549</v>
      </c>
      <c r="D1203" s="200">
        <f t="shared" ref="D1203:D1207" si="560">E1203+I1203</f>
        <v>144.42</v>
      </c>
      <c r="E1203" s="204">
        <f t="shared" ref="E1203:E1207" si="561">SUM(F1203:H1203)</f>
        <v>0</v>
      </c>
      <c r="F1203" s="205"/>
      <c r="G1203" s="205"/>
      <c r="H1203" s="205"/>
      <c r="I1203" s="204">
        <f t="shared" ref="I1203:I1207" si="562">SUM(J1203:L1203)</f>
        <v>144.42</v>
      </c>
      <c r="J1203" s="212">
        <v>76.42</v>
      </c>
      <c r="K1203" s="205">
        <v>1</v>
      </c>
      <c r="L1203" s="205">
        <v>67</v>
      </c>
      <c r="M1203" s="213" t="s">
        <v>1203</v>
      </c>
      <c r="N1203" s="176">
        <f t="shared" si="555"/>
        <v>76.42</v>
      </c>
    </row>
    <row r="1204" ht="26.25" customHeight="1" spans="1:14">
      <c r="A1204" s="198" t="s">
        <v>1204</v>
      </c>
      <c r="B1204" s="199" t="s">
        <v>1205</v>
      </c>
      <c r="C1204" s="199"/>
      <c r="D1204" s="200">
        <f t="shared" ref="D1204:L1204" si="563">D1205</f>
        <v>30.1</v>
      </c>
      <c r="E1204" s="200">
        <f t="shared" si="563"/>
        <v>0</v>
      </c>
      <c r="F1204" s="200">
        <f t="shared" si="563"/>
        <v>0</v>
      </c>
      <c r="G1204" s="200">
        <f t="shared" si="563"/>
        <v>0</v>
      </c>
      <c r="H1204" s="200">
        <f t="shared" si="563"/>
        <v>0</v>
      </c>
      <c r="I1204" s="200">
        <f t="shared" si="563"/>
        <v>30.1</v>
      </c>
      <c r="J1204" s="200">
        <f t="shared" si="563"/>
        <v>5.6</v>
      </c>
      <c r="K1204" s="200">
        <f t="shared" si="563"/>
        <v>24.5</v>
      </c>
      <c r="L1204" s="200">
        <f t="shared" si="563"/>
        <v>0</v>
      </c>
      <c r="M1204" s="211"/>
      <c r="N1204" s="176">
        <f t="shared" si="555"/>
        <v>5.6</v>
      </c>
    </row>
    <row r="1205" ht="26.25" customHeight="1" spans="1:14">
      <c r="A1205" s="202"/>
      <c r="B1205" s="203"/>
      <c r="C1205" s="203" t="s">
        <v>549</v>
      </c>
      <c r="D1205" s="200">
        <f t="shared" si="560"/>
        <v>30.1</v>
      </c>
      <c r="E1205" s="204">
        <f t="shared" si="561"/>
        <v>0</v>
      </c>
      <c r="F1205" s="205"/>
      <c r="G1205" s="205"/>
      <c r="H1205" s="205"/>
      <c r="I1205" s="204">
        <f t="shared" si="562"/>
        <v>30.1</v>
      </c>
      <c r="J1205" s="212">
        <v>5.6</v>
      </c>
      <c r="K1205" s="205">
        <v>24.5</v>
      </c>
      <c r="L1205" s="205"/>
      <c r="M1205" s="213" t="s">
        <v>1206</v>
      </c>
      <c r="N1205" s="176">
        <f t="shared" si="555"/>
        <v>5.6</v>
      </c>
    </row>
    <row r="1206" ht="26.25" customHeight="1" spans="1:14">
      <c r="A1206" s="198" t="s">
        <v>1207</v>
      </c>
      <c r="B1206" s="199" t="s">
        <v>1208</v>
      </c>
      <c r="C1206" s="199"/>
      <c r="D1206" s="200">
        <f t="shared" ref="D1206:L1206" si="564">D1207</f>
        <v>39.2</v>
      </c>
      <c r="E1206" s="200">
        <f t="shared" si="564"/>
        <v>0</v>
      </c>
      <c r="F1206" s="200">
        <f t="shared" si="564"/>
        <v>0</v>
      </c>
      <c r="G1206" s="200">
        <f t="shared" si="564"/>
        <v>0</v>
      </c>
      <c r="H1206" s="200">
        <f t="shared" si="564"/>
        <v>0</v>
      </c>
      <c r="I1206" s="200">
        <f t="shared" si="564"/>
        <v>39.2</v>
      </c>
      <c r="J1206" s="200">
        <f t="shared" si="564"/>
        <v>39.2</v>
      </c>
      <c r="K1206" s="200">
        <f t="shared" si="564"/>
        <v>0</v>
      </c>
      <c r="L1206" s="200">
        <f t="shared" si="564"/>
        <v>0</v>
      </c>
      <c r="M1206" s="211"/>
      <c r="N1206" s="176">
        <f t="shared" si="555"/>
        <v>39.2</v>
      </c>
    </row>
    <row r="1207" ht="57" customHeight="1" spans="1:14">
      <c r="A1207" s="202"/>
      <c r="B1207" s="203"/>
      <c r="C1207" s="203" t="s">
        <v>549</v>
      </c>
      <c r="D1207" s="200">
        <f t="shared" si="560"/>
        <v>39.2</v>
      </c>
      <c r="E1207" s="204">
        <f t="shared" si="561"/>
        <v>0</v>
      </c>
      <c r="F1207" s="205"/>
      <c r="G1207" s="205"/>
      <c r="H1207" s="205"/>
      <c r="I1207" s="204">
        <f t="shared" si="562"/>
        <v>39.2</v>
      </c>
      <c r="J1207" s="212">
        <v>39.2</v>
      </c>
      <c r="K1207" s="205"/>
      <c r="L1207" s="205"/>
      <c r="M1207" s="213" t="s">
        <v>1209</v>
      </c>
      <c r="N1207" s="176">
        <f t="shared" si="555"/>
        <v>39.2</v>
      </c>
    </row>
    <row r="1208" ht="26.25" customHeight="1" spans="1:14">
      <c r="A1208" s="198" t="s">
        <v>1210</v>
      </c>
      <c r="B1208" s="199" t="s">
        <v>1211</v>
      </c>
      <c r="C1208" s="199"/>
      <c r="D1208" s="200">
        <f t="shared" ref="D1208:L1208" si="565">D1209</f>
        <v>7.2</v>
      </c>
      <c r="E1208" s="200">
        <f t="shared" si="565"/>
        <v>0</v>
      </c>
      <c r="F1208" s="200">
        <f t="shared" si="565"/>
        <v>0</v>
      </c>
      <c r="G1208" s="200">
        <f t="shared" si="565"/>
        <v>0</v>
      </c>
      <c r="H1208" s="200">
        <f t="shared" si="565"/>
        <v>0</v>
      </c>
      <c r="I1208" s="200">
        <f t="shared" si="565"/>
        <v>7.2</v>
      </c>
      <c r="J1208" s="200">
        <f t="shared" si="565"/>
        <v>7.2</v>
      </c>
      <c r="K1208" s="200">
        <f t="shared" si="565"/>
        <v>0</v>
      </c>
      <c r="L1208" s="200">
        <f t="shared" si="565"/>
        <v>0</v>
      </c>
      <c r="M1208" s="211"/>
      <c r="N1208" s="176">
        <f t="shared" si="555"/>
        <v>7.2</v>
      </c>
    </row>
    <row r="1209" ht="48" customHeight="1" spans="1:14">
      <c r="A1209" s="202"/>
      <c r="B1209" s="203"/>
      <c r="C1209" s="203" t="s">
        <v>556</v>
      </c>
      <c r="D1209" s="200">
        <f>E1209+I1209</f>
        <v>7.2</v>
      </c>
      <c r="E1209" s="204">
        <f>SUM(F1209:H1209)</f>
        <v>0</v>
      </c>
      <c r="F1209" s="205"/>
      <c r="G1209" s="205"/>
      <c r="H1209" s="205"/>
      <c r="I1209" s="204">
        <f>SUM(J1209:L1209)</f>
        <v>7.2</v>
      </c>
      <c r="J1209" s="212">
        <v>7.2</v>
      </c>
      <c r="K1209" s="205"/>
      <c r="L1209" s="205"/>
      <c r="M1209" s="213" t="s">
        <v>1212</v>
      </c>
      <c r="N1209" s="176">
        <f t="shared" si="555"/>
        <v>7.2</v>
      </c>
    </row>
    <row r="1210" ht="26.25" customHeight="1" spans="1:14">
      <c r="A1210" s="217">
        <v>2130120</v>
      </c>
      <c r="B1210" s="199" t="s">
        <v>1213</v>
      </c>
      <c r="C1210" s="203"/>
      <c r="D1210" s="200">
        <f>D1211</f>
        <v>130</v>
      </c>
      <c r="E1210" s="200">
        <f t="shared" ref="E1210:L1210" si="566">E1211</f>
        <v>0</v>
      </c>
      <c r="F1210" s="200">
        <f t="shared" si="566"/>
        <v>0</v>
      </c>
      <c r="G1210" s="200">
        <f t="shared" si="566"/>
        <v>0</v>
      </c>
      <c r="H1210" s="200">
        <f t="shared" si="566"/>
        <v>0</v>
      </c>
      <c r="I1210" s="200">
        <f t="shared" si="566"/>
        <v>130</v>
      </c>
      <c r="J1210" s="200">
        <f t="shared" si="566"/>
        <v>0</v>
      </c>
      <c r="K1210" s="200">
        <f t="shared" si="566"/>
        <v>130</v>
      </c>
      <c r="L1210" s="200">
        <f t="shared" si="566"/>
        <v>0</v>
      </c>
      <c r="M1210" s="213"/>
      <c r="N1210" s="176">
        <f t="shared" si="555"/>
        <v>0</v>
      </c>
    </row>
    <row r="1211" ht="26.25" customHeight="1" spans="1:14">
      <c r="A1211" s="202"/>
      <c r="B1211" s="203"/>
      <c r="C1211" s="203"/>
      <c r="D1211" s="200">
        <f>E1211+I1211</f>
        <v>130</v>
      </c>
      <c r="E1211" s="204"/>
      <c r="F1211" s="205"/>
      <c r="G1211" s="205"/>
      <c r="H1211" s="205"/>
      <c r="I1211" s="204">
        <f>K1211</f>
        <v>130</v>
      </c>
      <c r="J1211" s="212"/>
      <c r="K1211" s="205">
        <v>130</v>
      </c>
      <c r="L1211" s="205"/>
      <c r="M1211" s="213"/>
      <c r="N1211" s="176">
        <f t="shared" si="555"/>
        <v>0</v>
      </c>
    </row>
    <row r="1212" ht="26.25" customHeight="1" spans="1:14">
      <c r="A1212" s="198" t="s">
        <v>1214</v>
      </c>
      <c r="B1212" s="199" t="s">
        <v>1215</v>
      </c>
      <c r="C1212" s="199"/>
      <c r="D1212" s="200">
        <f t="shared" ref="D1212:L1212" si="567">D1213</f>
        <v>4.8</v>
      </c>
      <c r="E1212" s="200">
        <f t="shared" si="567"/>
        <v>0</v>
      </c>
      <c r="F1212" s="200">
        <f t="shared" si="567"/>
        <v>0</v>
      </c>
      <c r="G1212" s="200">
        <f t="shared" si="567"/>
        <v>0</v>
      </c>
      <c r="H1212" s="200">
        <f t="shared" si="567"/>
        <v>0</v>
      </c>
      <c r="I1212" s="200">
        <f t="shared" si="567"/>
        <v>4.8</v>
      </c>
      <c r="J1212" s="200">
        <f t="shared" si="567"/>
        <v>4.8</v>
      </c>
      <c r="K1212" s="200">
        <f t="shared" si="567"/>
        <v>0</v>
      </c>
      <c r="L1212" s="200">
        <f t="shared" si="567"/>
        <v>0</v>
      </c>
      <c r="M1212" s="211"/>
      <c r="N1212" s="176">
        <f t="shared" si="555"/>
        <v>4.8</v>
      </c>
    </row>
    <row r="1213" ht="26.25" customHeight="1" spans="1:14">
      <c r="A1213" s="202"/>
      <c r="B1213" s="203"/>
      <c r="C1213" s="203" t="s">
        <v>549</v>
      </c>
      <c r="D1213" s="200">
        <f t="shared" ref="D1213:D1217" si="568">E1213+I1213</f>
        <v>4.8</v>
      </c>
      <c r="E1213" s="204">
        <f t="shared" ref="E1213:E1217" si="569">SUM(F1213:H1213)</f>
        <v>0</v>
      </c>
      <c r="F1213" s="205"/>
      <c r="G1213" s="205"/>
      <c r="H1213" s="205"/>
      <c r="I1213" s="204">
        <f t="shared" ref="I1213:I1217" si="570">SUM(J1213:L1213)</f>
        <v>4.8</v>
      </c>
      <c r="J1213" s="212">
        <v>4.8</v>
      </c>
      <c r="K1213" s="205"/>
      <c r="L1213" s="205"/>
      <c r="M1213" s="213" t="s">
        <v>1216</v>
      </c>
      <c r="N1213" s="176">
        <f t="shared" si="555"/>
        <v>4.8</v>
      </c>
    </row>
    <row r="1214" ht="26.25" customHeight="1" spans="1:14">
      <c r="A1214" s="198" t="s">
        <v>1217</v>
      </c>
      <c r="B1214" s="199" t="s">
        <v>1218</v>
      </c>
      <c r="C1214" s="199"/>
      <c r="D1214" s="200">
        <f t="shared" ref="D1214:L1214" si="571">D1215</f>
        <v>478.14</v>
      </c>
      <c r="E1214" s="200">
        <f t="shared" si="571"/>
        <v>0</v>
      </c>
      <c r="F1214" s="200">
        <f t="shared" si="571"/>
        <v>0</v>
      </c>
      <c r="G1214" s="200">
        <f t="shared" si="571"/>
        <v>0</v>
      </c>
      <c r="H1214" s="200">
        <f t="shared" si="571"/>
        <v>0</v>
      </c>
      <c r="I1214" s="200">
        <f t="shared" si="571"/>
        <v>478.14</v>
      </c>
      <c r="J1214" s="200">
        <f t="shared" si="571"/>
        <v>0</v>
      </c>
      <c r="K1214" s="200">
        <f t="shared" si="571"/>
        <v>340.64</v>
      </c>
      <c r="L1214" s="200">
        <f t="shared" si="571"/>
        <v>137.5</v>
      </c>
      <c r="M1214" s="211"/>
      <c r="N1214" s="176">
        <f t="shared" si="555"/>
        <v>0</v>
      </c>
    </row>
    <row r="1215" ht="30" customHeight="1" spans="1:14">
      <c r="A1215" s="202"/>
      <c r="B1215" s="203"/>
      <c r="C1215" s="203"/>
      <c r="D1215" s="200">
        <f t="shared" si="568"/>
        <v>478.14</v>
      </c>
      <c r="E1215" s="204">
        <f t="shared" si="569"/>
        <v>0</v>
      </c>
      <c r="F1215" s="205"/>
      <c r="G1215" s="205"/>
      <c r="H1215" s="205"/>
      <c r="I1215" s="204">
        <f t="shared" si="570"/>
        <v>478.14</v>
      </c>
      <c r="J1215" s="212"/>
      <c r="K1215" s="205">
        <v>340.64</v>
      </c>
      <c r="L1215" s="205">
        <v>137.5</v>
      </c>
      <c r="M1215" s="213" t="s">
        <v>1219</v>
      </c>
      <c r="N1215" s="176">
        <f t="shared" si="555"/>
        <v>0</v>
      </c>
    </row>
    <row r="1216" ht="26.25" customHeight="1" spans="1:14">
      <c r="A1216" s="217">
        <v>2130124</v>
      </c>
      <c r="B1216" s="224" t="s">
        <v>1220</v>
      </c>
      <c r="C1216" s="203"/>
      <c r="D1216" s="200">
        <f t="shared" si="568"/>
        <v>38</v>
      </c>
      <c r="E1216" s="204">
        <f t="shared" si="569"/>
        <v>0</v>
      </c>
      <c r="F1216" s="205"/>
      <c r="G1216" s="205"/>
      <c r="H1216" s="205"/>
      <c r="I1216" s="204">
        <f t="shared" si="570"/>
        <v>38</v>
      </c>
      <c r="J1216" s="212"/>
      <c r="K1216" s="205"/>
      <c r="L1216" s="205">
        <v>38</v>
      </c>
      <c r="M1216" s="213"/>
      <c r="N1216" s="176">
        <f t="shared" si="555"/>
        <v>0</v>
      </c>
    </row>
    <row r="1217" ht="26.25" customHeight="1" spans="1:14">
      <c r="A1217" s="217">
        <v>2130126</v>
      </c>
      <c r="B1217" s="225" t="s">
        <v>1221</v>
      </c>
      <c r="C1217" s="203"/>
      <c r="D1217" s="200">
        <f t="shared" si="568"/>
        <v>65.85</v>
      </c>
      <c r="E1217" s="204">
        <f t="shared" si="569"/>
        <v>0</v>
      </c>
      <c r="F1217" s="205"/>
      <c r="G1217" s="205"/>
      <c r="H1217" s="205"/>
      <c r="I1217" s="204">
        <f t="shared" si="570"/>
        <v>65.85</v>
      </c>
      <c r="J1217" s="212"/>
      <c r="K1217" s="205">
        <v>11.35</v>
      </c>
      <c r="L1217" s="205">
        <v>54.5</v>
      </c>
      <c r="M1217" s="213"/>
      <c r="N1217" s="176">
        <f t="shared" si="555"/>
        <v>0</v>
      </c>
    </row>
    <row r="1218" ht="26.25" customHeight="1" spans="1:14">
      <c r="A1218" s="198" t="s">
        <v>1222</v>
      </c>
      <c r="B1218" s="199" t="s">
        <v>1223</v>
      </c>
      <c r="C1218" s="199"/>
      <c r="D1218" s="200">
        <f t="shared" ref="D1218:L1218" si="572">D1219</f>
        <v>155.7</v>
      </c>
      <c r="E1218" s="200">
        <f t="shared" si="572"/>
        <v>0</v>
      </c>
      <c r="F1218" s="200">
        <f t="shared" si="572"/>
        <v>0</v>
      </c>
      <c r="G1218" s="200">
        <f t="shared" si="572"/>
        <v>0</v>
      </c>
      <c r="H1218" s="200">
        <f t="shared" si="572"/>
        <v>0</v>
      </c>
      <c r="I1218" s="200">
        <f t="shared" si="572"/>
        <v>155.7</v>
      </c>
      <c r="J1218" s="200">
        <f t="shared" si="572"/>
        <v>6.4</v>
      </c>
      <c r="K1218" s="200">
        <f t="shared" si="572"/>
        <v>62.3</v>
      </c>
      <c r="L1218" s="200">
        <f t="shared" si="572"/>
        <v>87</v>
      </c>
      <c r="M1218" s="211"/>
      <c r="N1218" s="176">
        <f t="shared" si="555"/>
        <v>6.4</v>
      </c>
    </row>
    <row r="1219" ht="45" customHeight="1" spans="1:14">
      <c r="A1219" s="202"/>
      <c r="B1219" s="203"/>
      <c r="C1219" s="203" t="s">
        <v>549</v>
      </c>
      <c r="D1219" s="200">
        <f t="shared" ref="D1219:D1224" si="573">E1219+I1219</f>
        <v>155.7</v>
      </c>
      <c r="E1219" s="204">
        <f t="shared" ref="E1219:E1224" si="574">SUM(F1219:H1219)</f>
        <v>0</v>
      </c>
      <c r="F1219" s="205"/>
      <c r="G1219" s="205"/>
      <c r="H1219" s="205"/>
      <c r="I1219" s="204">
        <f t="shared" ref="I1219:I1224" si="575">SUM(J1219:L1219)</f>
        <v>155.7</v>
      </c>
      <c r="J1219" s="212">
        <v>6.4</v>
      </c>
      <c r="K1219" s="205">
        <v>62.3</v>
      </c>
      <c r="L1219" s="205">
        <f>12+75</f>
        <v>87</v>
      </c>
      <c r="M1219" s="213" t="s">
        <v>1224</v>
      </c>
      <c r="N1219" s="176">
        <f t="shared" si="555"/>
        <v>6.4</v>
      </c>
    </row>
    <row r="1220" ht="28.05" customHeight="1" spans="1:14">
      <c r="A1220" s="225">
        <v>2130153</v>
      </c>
      <c r="B1220" s="224" t="s">
        <v>1225</v>
      </c>
      <c r="C1220" s="203"/>
      <c r="D1220" s="200">
        <f t="shared" si="573"/>
        <v>5968.53</v>
      </c>
      <c r="E1220" s="204">
        <f t="shared" si="574"/>
        <v>0</v>
      </c>
      <c r="F1220" s="205"/>
      <c r="G1220" s="205"/>
      <c r="H1220" s="205"/>
      <c r="I1220" s="204">
        <f t="shared" si="575"/>
        <v>5968.53</v>
      </c>
      <c r="J1220" s="212"/>
      <c r="K1220" s="205">
        <v>1830.53</v>
      </c>
      <c r="L1220" s="205">
        <f>1850+2288</f>
        <v>4138</v>
      </c>
      <c r="M1220" s="213" t="s">
        <v>1226</v>
      </c>
      <c r="N1220" s="176">
        <f t="shared" si="555"/>
        <v>0</v>
      </c>
    </row>
    <row r="1221" ht="26.25" customHeight="1" spans="1:14">
      <c r="A1221" s="198" t="s">
        <v>1227</v>
      </c>
      <c r="B1221" s="199" t="s">
        <v>1228</v>
      </c>
      <c r="C1221" s="199"/>
      <c r="D1221" s="200">
        <f t="shared" ref="D1221:L1221" si="576">SUM(D1222:D1224)</f>
        <v>3819.8236</v>
      </c>
      <c r="E1221" s="200">
        <f t="shared" si="576"/>
        <v>0</v>
      </c>
      <c r="F1221" s="200">
        <f t="shared" si="576"/>
        <v>0</v>
      </c>
      <c r="G1221" s="200">
        <f t="shared" si="576"/>
        <v>0</v>
      </c>
      <c r="H1221" s="200">
        <f t="shared" si="576"/>
        <v>0</v>
      </c>
      <c r="I1221" s="200">
        <f t="shared" si="576"/>
        <v>3819.8236</v>
      </c>
      <c r="J1221" s="200">
        <f t="shared" si="576"/>
        <v>103.75</v>
      </c>
      <c r="K1221" s="200">
        <f t="shared" si="576"/>
        <v>3700.0736</v>
      </c>
      <c r="L1221" s="200">
        <f t="shared" si="576"/>
        <v>16</v>
      </c>
      <c r="M1221" s="211"/>
      <c r="N1221" s="176">
        <f t="shared" si="555"/>
        <v>103.75</v>
      </c>
    </row>
    <row r="1222" ht="54" customHeight="1" spans="1:14">
      <c r="A1222" s="202"/>
      <c r="B1222" s="203"/>
      <c r="C1222" s="203" t="s">
        <v>549</v>
      </c>
      <c r="D1222" s="200">
        <f t="shared" si="573"/>
        <v>3727.2736</v>
      </c>
      <c r="E1222" s="204">
        <f t="shared" si="574"/>
        <v>0</v>
      </c>
      <c r="F1222" s="205"/>
      <c r="G1222" s="205"/>
      <c r="H1222" s="205"/>
      <c r="I1222" s="204">
        <f t="shared" si="575"/>
        <v>3727.2736</v>
      </c>
      <c r="J1222" s="212">
        <v>11.2</v>
      </c>
      <c r="K1222" s="205">
        <f>3680.428+5+14.6456</f>
        <v>3700.0736</v>
      </c>
      <c r="L1222" s="205">
        <f>16</f>
        <v>16</v>
      </c>
      <c r="M1222" s="213" t="s">
        <v>1229</v>
      </c>
      <c r="N1222" s="176">
        <f t="shared" si="555"/>
        <v>11.2</v>
      </c>
    </row>
    <row r="1223" ht="29" customHeight="1" spans="1:14">
      <c r="A1223" s="202"/>
      <c r="B1223" s="203"/>
      <c r="C1223" s="203" t="s">
        <v>554</v>
      </c>
      <c r="D1223" s="200">
        <f t="shared" si="573"/>
        <v>12.55</v>
      </c>
      <c r="E1223" s="204">
        <f t="shared" si="574"/>
        <v>0</v>
      </c>
      <c r="F1223" s="205"/>
      <c r="G1223" s="205"/>
      <c r="H1223" s="205"/>
      <c r="I1223" s="204">
        <f t="shared" si="575"/>
        <v>12.55</v>
      </c>
      <c r="J1223" s="212">
        <v>12.55</v>
      </c>
      <c r="K1223" s="205"/>
      <c r="L1223" s="205"/>
      <c r="M1223" s="213" t="s">
        <v>1230</v>
      </c>
      <c r="N1223" s="176">
        <f t="shared" si="555"/>
        <v>12.55</v>
      </c>
    </row>
    <row r="1224" ht="29" customHeight="1" spans="1:14">
      <c r="A1224" s="202"/>
      <c r="B1224" s="203"/>
      <c r="C1224" s="203"/>
      <c r="D1224" s="200">
        <f t="shared" si="573"/>
        <v>80</v>
      </c>
      <c r="E1224" s="204">
        <f t="shared" si="574"/>
        <v>0</v>
      </c>
      <c r="F1224" s="205"/>
      <c r="G1224" s="205"/>
      <c r="H1224" s="205"/>
      <c r="I1224" s="204">
        <f t="shared" si="575"/>
        <v>80</v>
      </c>
      <c r="J1224" s="212">
        <v>80</v>
      </c>
      <c r="K1224" s="205"/>
      <c r="L1224" s="205"/>
      <c r="M1224" s="213"/>
      <c r="N1224" s="176">
        <f t="shared" si="555"/>
        <v>80</v>
      </c>
    </row>
    <row r="1225" ht="26.25" customHeight="1" spans="1:14">
      <c r="A1225" s="198" t="s">
        <v>1231</v>
      </c>
      <c r="B1225" s="199" t="s">
        <v>1232</v>
      </c>
      <c r="C1225" s="199"/>
      <c r="D1225" s="200">
        <f>D1226+D1228+D1232+D1235+D1239+D1242+D1245+D1237</f>
        <v>9451.889573</v>
      </c>
      <c r="E1225" s="200">
        <f t="shared" ref="E1225:L1225" si="577">E1226+E1228+E1232+E1235+E1239+E1242+E1245+E1237</f>
        <v>2499.356573</v>
      </c>
      <c r="F1225" s="200">
        <f t="shared" si="577"/>
        <v>2209.519373</v>
      </c>
      <c r="G1225" s="200">
        <f t="shared" si="577"/>
        <v>122.664</v>
      </c>
      <c r="H1225" s="200">
        <f t="shared" si="577"/>
        <v>167.1732</v>
      </c>
      <c r="I1225" s="200">
        <f t="shared" si="577"/>
        <v>6952.533</v>
      </c>
      <c r="J1225" s="200">
        <f t="shared" si="577"/>
        <v>243.59</v>
      </c>
      <c r="K1225" s="200">
        <f t="shared" si="577"/>
        <v>1372.783</v>
      </c>
      <c r="L1225" s="200">
        <f t="shared" si="577"/>
        <v>5336.16</v>
      </c>
      <c r="M1225" s="211"/>
      <c r="N1225" s="176">
        <f t="shared" si="555"/>
        <v>2742.946573</v>
      </c>
    </row>
    <row r="1226" ht="26.25" customHeight="1" spans="1:14">
      <c r="A1226" s="198" t="s">
        <v>1233</v>
      </c>
      <c r="B1226" s="199" t="s">
        <v>295</v>
      </c>
      <c r="C1226" s="199"/>
      <c r="D1226" s="200">
        <f>D1227</f>
        <v>1.35</v>
      </c>
      <c r="E1226" s="204">
        <f t="shared" ref="E1226:E1231" si="578">SUM(F1226:H1226)</f>
        <v>1.35</v>
      </c>
      <c r="F1226" s="204">
        <v>1.35</v>
      </c>
      <c r="G1226" s="204"/>
      <c r="H1226" s="204"/>
      <c r="I1226" s="204">
        <f t="shared" ref="I1226:I1231" si="579">SUM(J1226:L1226)</f>
        <v>0</v>
      </c>
      <c r="J1226" s="216"/>
      <c r="K1226" s="204"/>
      <c r="L1226" s="204"/>
      <c r="M1226" s="211"/>
      <c r="N1226" s="176">
        <f t="shared" si="555"/>
        <v>1.35</v>
      </c>
    </row>
    <row r="1227" ht="26.25" customHeight="1" spans="1:14">
      <c r="A1227" s="202"/>
      <c r="B1227" s="203"/>
      <c r="C1227" s="203" t="s">
        <v>550</v>
      </c>
      <c r="D1227" s="200">
        <f t="shared" ref="D1227:D1231" si="580">E1227+I1227</f>
        <v>1.35</v>
      </c>
      <c r="E1227" s="204">
        <f t="shared" si="578"/>
        <v>1.35</v>
      </c>
      <c r="F1227" s="205">
        <v>1.35</v>
      </c>
      <c r="G1227" s="205"/>
      <c r="H1227" s="205"/>
      <c r="I1227" s="204">
        <f t="shared" si="579"/>
        <v>0</v>
      </c>
      <c r="J1227" s="212"/>
      <c r="K1227" s="205"/>
      <c r="L1227" s="205"/>
      <c r="M1227" s="213"/>
      <c r="N1227" s="176">
        <f t="shared" si="555"/>
        <v>1.35</v>
      </c>
    </row>
    <row r="1228" ht="26.25" customHeight="1" spans="1:14">
      <c r="A1228" s="198" t="s">
        <v>1234</v>
      </c>
      <c r="B1228" s="199" t="s">
        <v>1235</v>
      </c>
      <c r="C1228" s="199"/>
      <c r="D1228" s="200">
        <f t="shared" ref="D1228:L1228" si="581">SUM(D1229:D1231)</f>
        <v>2503.626573</v>
      </c>
      <c r="E1228" s="200">
        <f t="shared" si="581"/>
        <v>2498.006573</v>
      </c>
      <c r="F1228" s="200">
        <f t="shared" si="581"/>
        <v>2208.169373</v>
      </c>
      <c r="G1228" s="200">
        <f t="shared" si="581"/>
        <v>122.664</v>
      </c>
      <c r="H1228" s="200">
        <f t="shared" si="581"/>
        <v>167.1732</v>
      </c>
      <c r="I1228" s="200">
        <f t="shared" si="581"/>
        <v>5.62</v>
      </c>
      <c r="J1228" s="200">
        <f t="shared" si="581"/>
        <v>5.62</v>
      </c>
      <c r="K1228" s="200">
        <f t="shared" si="581"/>
        <v>0</v>
      </c>
      <c r="L1228" s="200">
        <f t="shared" si="581"/>
        <v>0</v>
      </c>
      <c r="M1228" s="211"/>
      <c r="N1228" s="176">
        <f t="shared" si="555"/>
        <v>2503.626573</v>
      </c>
    </row>
    <row r="1229" ht="26.25" customHeight="1" spans="1:14">
      <c r="A1229" s="202"/>
      <c r="B1229" s="203"/>
      <c r="C1229" s="203" t="s">
        <v>550</v>
      </c>
      <c r="D1229" s="200">
        <f t="shared" si="580"/>
        <v>1318.822579</v>
      </c>
      <c r="E1229" s="204">
        <f t="shared" si="578"/>
        <v>1318.822579</v>
      </c>
      <c r="F1229" s="205">
        <v>1178.382519</v>
      </c>
      <c r="G1229" s="205">
        <v>90.664</v>
      </c>
      <c r="H1229" s="205">
        <v>49.77606</v>
      </c>
      <c r="I1229" s="204">
        <f t="shared" si="579"/>
        <v>0</v>
      </c>
      <c r="J1229" s="212"/>
      <c r="K1229" s="205"/>
      <c r="L1229" s="205"/>
      <c r="M1229" s="213"/>
      <c r="N1229" s="176">
        <f t="shared" si="555"/>
        <v>1318.822579</v>
      </c>
    </row>
    <row r="1230" ht="26.25" customHeight="1" spans="1:14">
      <c r="A1230" s="202"/>
      <c r="B1230" s="203"/>
      <c r="C1230" s="203" t="s">
        <v>559</v>
      </c>
      <c r="D1230" s="200">
        <f t="shared" si="580"/>
        <v>82.816591</v>
      </c>
      <c r="E1230" s="204">
        <f t="shared" si="578"/>
        <v>82.816591</v>
      </c>
      <c r="F1230" s="205">
        <v>64.771391</v>
      </c>
      <c r="G1230" s="205">
        <v>2</v>
      </c>
      <c r="H1230" s="205">
        <v>16.0452</v>
      </c>
      <c r="I1230" s="204">
        <f t="shared" si="579"/>
        <v>0</v>
      </c>
      <c r="J1230" s="212"/>
      <c r="K1230" s="205"/>
      <c r="L1230" s="205"/>
      <c r="M1230" s="213"/>
      <c r="N1230" s="176">
        <f t="shared" si="555"/>
        <v>82.816591</v>
      </c>
    </row>
    <row r="1231" ht="26.25" customHeight="1" spans="1:14">
      <c r="A1231" s="202"/>
      <c r="B1231" s="203"/>
      <c r="C1231" s="203" t="s">
        <v>560</v>
      </c>
      <c r="D1231" s="200">
        <f t="shared" si="580"/>
        <v>1101.987403</v>
      </c>
      <c r="E1231" s="204">
        <f t="shared" si="578"/>
        <v>1096.367403</v>
      </c>
      <c r="F1231" s="205">
        <v>965.015463</v>
      </c>
      <c r="G1231" s="205">
        <v>30</v>
      </c>
      <c r="H1231" s="205">
        <v>101.35194</v>
      </c>
      <c r="I1231" s="204">
        <f t="shared" si="579"/>
        <v>5.62</v>
      </c>
      <c r="J1231" s="212">
        <v>5.62</v>
      </c>
      <c r="K1231" s="205"/>
      <c r="L1231" s="205"/>
      <c r="M1231" s="213" t="s">
        <v>1236</v>
      </c>
      <c r="N1231" s="176">
        <f t="shared" si="555"/>
        <v>1101.987403</v>
      </c>
    </row>
    <row r="1232" ht="26.25" customHeight="1" spans="1:14">
      <c r="A1232" s="198" t="s">
        <v>1237</v>
      </c>
      <c r="B1232" s="199" t="s">
        <v>1238</v>
      </c>
      <c r="C1232" s="199"/>
      <c r="D1232" s="200">
        <f t="shared" ref="D1232:L1232" si="582">SUM(D1233:D1234)</f>
        <v>146.35</v>
      </c>
      <c r="E1232" s="200">
        <f t="shared" si="582"/>
        <v>0</v>
      </c>
      <c r="F1232" s="200">
        <f t="shared" si="582"/>
        <v>0</v>
      </c>
      <c r="G1232" s="200">
        <f t="shared" si="582"/>
        <v>0</v>
      </c>
      <c r="H1232" s="200">
        <f t="shared" si="582"/>
        <v>0</v>
      </c>
      <c r="I1232" s="200">
        <f t="shared" si="582"/>
        <v>146.35</v>
      </c>
      <c r="J1232" s="200">
        <f t="shared" si="582"/>
        <v>58.93</v>
      </c>
      <c r="K1232" s="200">
        <f t="shared" si="582"/>
        <v>87.42</v>
      </c>
      <c r="L1232" s="200">
        <f t="shared" si="582"/>
        <v>0</v>
      </c>
      <c r="M1232" s="211"/>
      <c r="N1232" s="176">
        <f t="shared" si="555"/>
        <v>58.93</v>
      </c>
    </row>
    <row r="1233" ht="26.25" customHeight="1" spans="1:14">
      <c r="A1233" s="202"/>
      <c r="B1233" s="203"/>
      <c r="C1233" s="203" t="s">
        <v>559</v>
      </c>
      <c r="D1233" s="200">
        <f t="shared" ref="D1233:D1236" si="583">E1233+I1233</f>
        <v>32</v>
      </c>
      <c r="E1233" s="204">
        <f t="shared" ref="E1233:E1236" si="584">SUM(F1233:H1233)</f>
        <v>0</v>
      </c>
      <c r="F1233" s="205"/>
      <c r="G1233" s="205"/>
      <c r="H1233" s="205"/>
      <c r="I1233" s="204">
        <f t="shared" ref="I1233:I1236" si="585">SUM(J1233:L1233)</f>
        <v>32</v>
      </c>
      <c r="J1233" s="212">
        <v>32</v>
      </c>
      <c r="K1233" s="205"/>
      <c r="L1233" s="205"/>
      <c r="M1233" s="213" t="s">
        <v>1239</v>
      </c>
      <c r="N1233" s="176">
        <f t="shared" si="555"/>
        <v>32</v>
      </c>
    </row>
    <row r="1234" ht="26.25" customHeight="1" spans="1:14">
      <c r="A1234" s="202"/>
      <c r="B1234" s="203"/>
      <c r="C1234" s="203" t="s">
        <v>560</v>
      </c>
      <c r="D1234" s="200">
        <f t="shared" si="583"/>
        <v>114.35</v>
      </c>
      <c r="E1234" s="204">
        <f t="shared" si="584"/>
        <v>0</v>
      </c>
      <c r="F1234" s="205"/>
      <c r="G1234" s="205"/>
      <c r="H1234" s="205"/>
      <c r="I1234" s="204">
        <f t="shared" si="585"/>
        <v>114.35</v>
      </c>
      <c r="J1234" s="212">
        <v>26.93</v>
      </c>
      <c r="K1234" s="205">
        <v>87.42</v>
      </c>
      <c r="L1234" s="205"/>
      <c r="M1234" s="213" t="s">
        <v>1240</v>
      </c>
      <c r="N1234" s="176">
        <f t="shared" si="555"/>
        <v>26.93</v>
      </c>
    </row>
    <row r="1235" ht="26.25" customHeight="1" spans="1:14">
      <c r="A1235" s="198" t="s">
        <v>1241</v>
      </c>
      <c r="B1235" s="199" t="s">
        <v>1242</v>
      </c>
      <c r="C1235" s="199"/>
      <c r="D1235" s="200">
        <f t="shared" ref="D1235:L1235" si="586">D1236</f>
        <v>1.3</v>
      </c>
      <c r="E1235" s="200">
        <f t="shared" si="586"/>
        <v>0</v>
      </c>
      <c r="F1235" s="200">
        <f t="shared" si="586"/>
        <v>0</v>
      </c>
      <c r="G1235" s="200">
        <f t="shared" si="586"/>
        <v>0</v>
      </c>
      <c r="H1235" s="200">
        <f t="shared" si="586"/>
        <v>0</v>
      </c>
      <c r="I1235" s="200">
        <f t="shared" si="586"/>
        <v>1.3</v>
      </c>
      <c r="J1235" s="200">
        <f t="shared" si="586"/>
        <v>1.3</v>
      </c>
      <c r="K1235" s="200">
        <f t="shared" si="586"/>
        <v>0</v>
      </c>
      <c r="L1235" s="200">
        <f t="shared" si="586"/>
        <v>0</v>
      </c>
      <c r="M1235" s="211"/>
      <c r="N1235" s="176">
        <f t="shared" si="555"/>
        <v>1.3</v>
      </c>
    </row>
    <row r="1236" ht="26.25" customHeight="1" spans="1:14">
      <c r="A1236" s="202"/>
      <c r="B1236" s="203"/>
      <c r="C1236" s="203" t="s">
        <v>560</v>
      </c>
      <c r="D1236" s="200">
        <f t="shared" si="583"/>
        <v>1.3</v>
      </c>
      <c r="E1236" s="204">
        <f t="shared" si="584"/>
        <v>0</v>
      </c>
      <c r="F1236" s="205"/>
      <c r="G1236" s="205"/>
      <c r="H1236" s="205"/>
      <c r="I1236" s="204">
        <f t="shared" si="585"/>
        <v>1.3</v>
      </c>
      <c r="J1236" s="212">
        <v>1.3</v>
      </c>
      <c r="K1236" s="205"/>
      <c r="L1236" s="205"/>
      <c r="M1236" s="213" t="s">
        <v>1243</v>
      </c>
      <c r="N1236" s="176">
        <f t="shared" si="555"/>
        <v>1.3</v>
      </c>
    </row>
    <row r="1237" ht="26.25" customHeight="1" spans="1:14">
      <c r="A1237" s="217">
        <v>2130209</v>
      </c>
      <c r="B1237" s="199" t="s">
        <v>1244</v>
      </c>
      <c r="C1237" s="203"/>
      <c r="D1237" s="200">
        <f>D1238</f>
        <v>865.67</v>
      </c>
      <c r="E1237" s="200">
        <f t="shared" ref="E1237:L1237" si="587">E1238</f>
        <v>0</v>
      </c>
      <c r="F1237" s="200">
        <f t="shared" si="587"/>
        <v>0</v>
      </c>
      <c r="G1237" s="200">
        <f t="shared" si="587"/>
        <v>0</v>
      </c>
      <c r="H1237" s="200">
        <f t="shared" si="587"/>
        <v>0</v>
      </c>
      <c r="I1237" s="200">
        <f t="shared" si="587"/>
        <v>865.67</v>
      </c>
      <c r="J1237" s="200">
        <f t="shared" si="587"/>
        <v>0</v>
      </c>
      <c r="K1237" s="200">
        <f t="shared" si="587"/>
        <v>865.67</v>
      </c>
      <c r="L1237" s="200">
        <f t="shared" si="587"/>
        <v>0</v>
      </c>
      <c r="M1237" s="213"/>
      <c r="N1237" s="176">
        <f t="shared" si="555"/>
        <v>0</v>
      </c>
    </row>
    <row r="1238" ht="26.25" customHeight="1" spans="1:14">
      <c r="A1238" s="202"/>
      <c r="B1238" s="203"/>
      <c r="C1238" s="203" t="s">
        <v>550</v>
      </c>
      <c r="D1238" s="200">
        <f>E1238+I1238</f>
        <v>865.67</v>
      </c>
      <c r="E1238" s="204"/>
      <c r="F1238" s="205"/>
      <c r="G1238" s="205"/>
      <c r="H1238" s="205"/>
      <c r="I1238" s="204">
        <f>K1238</f>
        <v>865.67</v>
      </c>
      <c r="J1238" s="212"/>
      <c r="K1238" s="205">
        <v>865.67</v>
      </c>
      <c r="L1238" s="205"/>
      <c r="M1238" s="213"/>
      <c r="N1238" s="176">
        <f t="shared" si="555"/>
        <v>0</v>
      </c>
    </row>
    <row r="1239" ht="26.25" customHeight="1" spans="1:14">
      <c r="A1239" s="198" t="s">
        <v>1245</v>
      </c>
      <c r="B1239" s="199" t="s">
        <v>1246</v>
      </c>
      <c r="C1239" s="199"/>
      <c r="D1239" s="200">
        <f t="shared" ref="D1239:L1239" si="588">SUM(D1240:D1241)</f>
        <v>47.82</v>
      </c>
      <c r="E1239" s="200">
        <f t="shared" si="588"/>
        <v>0</v>
      </c>
      <c r="F1239" s="200">
        <f t="shared" si="588"/>
        <v>0</v>
      </c>
      <c r="G1239" s="200">
        <f t="shared" si="588"/>
        <v>0</v>
      </c>
      <c r="H1239" s="200">
        <f t="shared" si="588"/>
        <v>0</v>
      </c>
      <c r="I1239" s="200">
        <f t="shared" si="588"/>
        <v>47.82</v>
      </c>
      <c r="J1239" s="200">
        <f t="shared" si="588"/>
        <v>47.82</v>
      </c>
      <c r="K1239" s="200">
        <f t="shared" si="588"/>
        <v>0</v>
      </c>
      <c r="L1239" s="200">
        <f t="shared" si="588"/>
        <v>0</v>
      </c>
      <c r="M1239" s="211"/>
      <c r="N1239" s="176">
        <f t="shared" si="555"/>
        <v>47.82</v>
      </c>
    </row>
    <row r="1240" ht="26.25" customHeight="1" spans="1:14">
      <c r="A1240" s="202"/>
      <c r="B1240" s="203"/>
      <c r="C1240" s="203" t="s">
        <v>550</v>
      </c>
      <c r="D1240" s="200">
        <f t="shared" ref="D1240:D1244" si="589">E1240+I1240</f>
        <v>41.82</v>
      </c>
      <c r="E1240" s="204">
        <f t="shared" ref="E1240:E1244" si="590">SUM(F1240:H1240)</f>
        <v>0</v>
      </c>
      <c r="F1240" s="205"/>
      <c r="G1240" s="205"/>
      <c r="H1240" s="205"/>
      <c r="I1240" s="204">
        <f t="shared" ref="I1240:I1244" si="591">SUM(J1240:L1240)</f>
        <v>41.82</v>
      </c>
      <c r="J1240" s="212">
        <v>41.82</v>
      </c>
      <c r="K1240" s="205"/>
      <c r="L1240" s="205"/>
      <c r="M1240" s="213" t="s">
        <v>1247</v>
      </c>
      <c r="N1240" s="176">
        <f t="shared" si="555"/>
        <v>41.82</v>
      </c>
    </row>
    <row r="1241" ht="26.25" customHeight="1" spans="1:14">
      <c r="A1241" s="202"/>
      <c r="B1241" s="203"/>
      <c r="C1241" s="203" t="s">
        <v>560</v>
      </c>
      <c r="D1241" s="200">
        <f t="shared" si="589"/>
        <v>6</v>
      </c>
      <c r="E1241" s="204">
        <f t="shared" si="590"/>
        <v>0</v>
      </c>
      <c r="F1241" s="205"/>
      <c r="G1241" s="205"/>
      <c r="H1241" s="205"/>
      <c r="I1241" s="204">
        <f t="shared" si="591"/>
        <v>6</v>
      </c>
      <c r="J1241" s="212">
        <v>6</v>
      </c>
      <c r="K1241" s="205"/>
      <c r="L1241" s="205"/>
      <c r="M1241" s="213" t="s">
        <v>1248</v>
      </c>
      <c r="N1241" s="176">
        <f t="shared" si="555"/>
        <v>6</v>
      </c>
    </row>
    <row r="1242" ht="26.25" customHeight="1" spans="1:14">
      <c r="A1242" s="198" t="s">
        <v>1249</v>
      </c>
      <c r="B1242" s="199" t="s">
        <v>1250</v>
      </c>
      <c r="C1242" s="199"/>
      <c r="D1242" s="200">
        <f t="shared" ref="D1242:L1242" si="592">SUM(D1243:D1244)</f>
        <v>24.15</v>
      </c>
      <c r="E1242" s="200">
        <f t="shared" si="592"/>
        <v>0</v>
      </c>
      <c r="F1242" s="200">
        <f t="shared" si="592"/>
        <v>0</v>
      </c>
      <c r="G1242" s="200">
        <f t="shared" si="592"/>
        <v>0</v>
      </c>
      <c r="H1242" s="200">
        <f t="shared" si="592"/>
        <v>0</v>
      </c>
      <c r="I1242" s="200">
        <f t="shared" si="592"/>
        <v>24.15</v>
      </c>
      <c r="J1242" s="200">
        <f t="shared" si="592"/>
        <v>24.15</v>
      </c>
      <c r="K1242" s="200">
        <f t="shared" si="592"/>
        <v>0</v>
      </c>
      <c r="L1242" s="200">
        <f t="shared" si="592"/>
        <v>0</v>
      </c>
      <c r="M1242" s="211"/>
      <c r="N1242" s="176">
        <f t="shared" si="555"/>
        <v>24.15</v>
      </c>
    </row>
    <row r="1243" ht="26.25" customHeight="1" spans="1:14">
      <c r="A1243" s="202"/>
      <c r="B1243" s="203"/>
      <c r="C1243" s="203" t="s">
        <v>550</v>
      </c>
      <c r="D1243" s="200">
        <f t="shared" si="589"/>
        <v>20</v>
      </c>
      <c r="E1243" s="204">
        <f t="shared" si="590"/>
        <v>0</v>
      </c>
      <c r="F1243" s="205"/>
      <c r="G1243" s="205"/>
      <c r="H1243" s="205"/>
      <c r="I1243" s="204">
        <f t="shared" si="591"/>
        <v>20</v>
      </c>
      <c r="J1243" s="212">
        <v>20</v>
      </c>
      <c r="K1243" s="205"/>
      <c r="L1243" s="205"/>
      <c r="M1243" s="213" t="s">
        <v>1251</v>
      </c>
      <c r="N1243" s="176">
        <f t="shared" si="555"/>
        <v>20</v>
      </c>
    </row>
    <row r="1244" ht="26.25" customHeight="1" spans="1:14">
      <c r="A1244" s="202"/>
      <c r="B1244" s="203"/>
      <c r="C1244" s="203" t="s">
        <v>560</v>
      </c>
      <c r="D1244" s="200">
        <f t="shared" si="589"/>
        <v>4.15</v>
      </c>
      <c r="E1244" s="204">
        <f t="shared" si="590"/>
        <v>0</v>
      </c>
      <c r="F1244" s="205"/>
      <c r="G1244" s="205"/>
      <c r="H1244" s="205"/>
      <c r="I1244" s="204">
        <f t="shared" si="591"/>
        <v>4.15</v>
      </c>
      <c r="J1244" s="212">
        <v>4.15</v>
      </c>
      <c r="K1244" s="205"/>
      <c r="L1244" s="205"/>
      <c r="M1244" s="213" t="s">
        <v>1252</v>
      </c>
      <c r="N1244" s="176">
        <f t="shared" si="555"/>
        <v>4.15</v>
      </c>
    </row>
    <row r="1245" ht="26.25" customHeight="1" spans="1:14">
      <c r="A1245" s="198" t="s">
        <v>1253</v>
      </c>
      <c r="B1245" s="199" t="s">
        <v>1254</v>
      </c>
      <c r="C1245" s="199"/>
      <c r="D1245" s="200">
        <f t="shared" ref="D1245:L1245" si="593">D1246</f>
        <v>5861.623</v>
      </c>
      <c r="E1245" s="200">
        <f t="shared" si="593"/>
        <v>0</v>
      </c>
      <c r="F1245" s="200">
        <f t="shared" si="593"/>
        <v>0</v>
      </c>
      <c r="G1245" s="200">
        <f t="shared" si="593"/>
        <v>0</v>
      </c>
      <c r="H1245" s="200">
        <f t="shared" si="593"/>
        <v>0</v>
      </c>
      <c r="I1245" s="200">
        <f t="shared" si="593"/>
        <v>5861.623</v>
      </c>
      <c r="J1245" s="200">
        <f t="shared" si="593"/>
        <v>105.77</v>
      </c>
      <c r="K1245" s="200">
        <f t="shared" si="593"/>
        <v>419.693</v>
      </c>
      <c r="L1245" s="200">
        <f t="shared" si="593"/>
        <v>5336.16</v>
      </c>
      <c r="M1245" s="211"/>
      <c r="N1245" s="176">
        <f t="shared" si="555"/>
        <v>105.77</v>
      </c>
    </row>
    <row r="1246" ht="201" customHeight="1" spans="1:14">
      <c r="A1246" s="202"/>
      <c r="B1246" s="203"/>
      <c r="C1246" s="203" t="s">
        <v>550</v>
      </c>
      <c r="D1246" s="200">
        <f>E1246+I1246</f>
        <v>5861.623</v>
      </c>
      <c r="E1246" s="204">
        <f>SUM(F1246:H1246)</f>
        <v>0</v>
      </c>
      <c r="F1246" s="205"/>
      <c r="G1246" s="205"/>
      <c r="H1246" s="205"/>
      <c r="I1246" s="204">
        <f>SUM(J1246:L1246)</f>
        <v>5861.623</v>
      </c>
      <c r="J1246" s="212">
        <v>105.77</v>
      </c>
      <c r="K1246" s="205">
        <v>419.693</v>
      </c>
      <c r="L1246" s="205">
        <f>1152.45+4183.71</f>
        <v>5336.16</v>
      </c>
      <c r="M1246" s="213" t="s">
        <v>1255</v>
      </c>
      <c r="N1246" s="176">
        <f t="shared" si="555"/>
        <v>105.77</v>
      </c>
    </row>
    <row r="1247" ht="26.25" customHeight="1" spans="1:14">
      <c r="A1247" s="198" t="s">
        <v>1256</v>
      </c>
      <c r="B1247" s="199" t="s">
        <v>1257</v>
      </c>
      <c r="C1247" s="199"/>
      <c r="D1247" s="200">
        <f t="shared" ref="D1247:L1247" si="594">D1248+D1250+D1253+D1255+D1257+D1259+D1252</f>
        <v>10424.472291</v>
      </c>
      <c r="E1247" s="200">
        <f t="shared" si="594"/>
        <v>619.914491</v>
      </c>
      <c r="F1247" s="200">
        <f t="shared" si="594"/>
        <v>558.863891</v>
      </c>
      <c r="G1247" s="200">
        <f t="shared" si="594"/>
        <v>46.9385</v>
      </c>
      <c r="H1247" s="200">
        <f t="shared" si="594"/>
        <v>14.1121</v>
      </c>
      <c r="I1247" s="200">
        <f t="shared" si="594"/>
        <v>9804.5578</v>
      </c>
      <c r="J1247" s="200">
        <f t="shared" si="594"/>
        <v>144.06</v>
      </c>
      <c r="K1247" s="200">
        <f t="shared" si="594"/>
        <v>5728.4978</v>
      </c>
      <c r="L1247" s="200">
        <f t="shared" si="594"/>
        <v>3932</v>
      </c>
      <c r="M1247" s="211"/>
      <c r="N1247" s="176">
        <f t="shared" si="555"/>
        <v>763.974491</v>
      </c>
    </row>
    <row r="1248" ht="26.25" customHeight="1" spans="1:14">
      <c r="A1248" s="198" t="s">
        <v>1258</v>
      </c>
      <c r="B1248" s="199" t="s">
        <v>295</v>
      </c>
      <c r="C1248" s="199"/>
      <c r="D1248" s="200">
        <f t="shared" ref="D1248:L1248" si="595">D1249</f>
        <v>196.730437</v>
      </c>
      <c r="E1248" s="200">
        <f t="shared" si="595"/>
        <v>168.410437</v>
      </c>
      <c r="F1248" s="200">
        <f t="shared" si="595"/>
        <v>136.358337</v>
      </c>
      <c r="G1248" s="200">
        <f t="shared" si="595"/>
        <v>17.946</v>
      </c>
      <c r="H1248" s="200">
        <f t="shared" si="595"/>
        <v>14.1061</v>
      </c>
      <c r="I1248" s="200">
        <f t="shared" si="595"/>
        <v>28.32</v>
      </c>
      <c r="J1248" s="200">
        <f t="shared" si="595"/>
        <v>28.32</v>
      </c>
      <c r="K1248" s="200">
        <f t="shared" si="595"/>
        <v>0</v>
      </c>
      <c r="L1248" s="200">
        <f t="shared" si="595"/>
        <v>0</v>
      </c>
      <c r="M1248" s="211"/>
      <c r="N1248" s="176">
        <f t="shared" si="555"/>
        <v>196.730437</v>
      </c>
    </row>
    <row r="1249" ht="42" customHeight="1" spans="1:14">
      <c r="A1249" s="202"/>
      <c r="B1249" s="203"/>
      <c r="C1249" s="203" t="s">
        <v>551</v>
      </c>
      <c r="D1249" s="200">
        <f>E1249+I1249</f>
        <v>196.730437</v>
      </c>
      <c r="E1249" s="216">
        <f>SUM(F1249:H1249)</f>
        <v>168.410437</v>
      </c>
      <c r="F1249" s="205">
        <v>136.358337</v>
      </c>
      <c r="G1249" s="205">
        <v>17.946</v>
      </c>
      <c r="H1249" s="205">
        <v>14.1061</v>
      </c>
      <c r="I1249" s="204">
        <f>SUM(J1249:L1249)</f>
        <v>28.32</v>
      </c>
      <c r="J1249" s="212">
        <v>28.32</v>
      </c>
      <c r="K1249" s="205"/>
      <c r="L1249" s="205"/>
      <c r="M1249" s="213" t="s">
        <v>1259</v>
      </c>
      <c r="N1249" s="176">
        <f t="shared" si="555"/>
        <v>196.730437</v>
      </c>
    </row>
    <row r="1250" ht="26.25" customHeight="1" spans="1:14">
      <c r="A1250" s="198" t="s">
        <v>1260</v>
      </c>
      <c r="B1250" s="199" t="s">
        <v>1261</v>
      </c>
      <c r="C1250" s="199"/>
      <c r="D1250" s="200">
        <f t="shared" ref="D1250:L1250" si="596">SUM(D1251:D1251)</f>
        <v>487.974054</v>
      </c>
      <c r="E1250" s="200">
        <f t="shared" si="596"/>
        <v>404.674054</v>
      </c>
      <c r="F1250" s="200">
        <f t="shared" si="596"/>
        <v>375.675554</v>
      </c>
      <c r="G1250" s="200">
        <f t="shared" si="596"/>
        <v>28.9925</v>
      </c>
      <c r="H1250" s="200">
        <f t="shared" si="596"/>
        <v>0.006</v>
      </c>
      <c r="I1250" s="200">
        <f t="shared" si="596"/>
        <v>83.3</v>
      </c>
      <c r="J1250" s="200">
        <f t="shared" si="596"/>
        <v>83.3</v>
      </c>
      <c r="K1250" s="200">
        <f t="shared" si="596"/>
        <v>0</v>
      </c>
      <c r="L1250" s="200">
        <f t="shared" si="596"/>
        <v>0</v>
      </c>
      <c r="M1250" s="211"/>
      <c r="N1250" s="176">
        <f t="shared" si="555"/>
        <v>487.974054</v>
      </c>
    </row>
    <row r="1251" ht="82" customHeight="1" spans="1:14">
      <c r="A1251" s="202"/>
      <c r="B1251" s="203"/>
      <c r="C1251" s="203" t="s">
        <v>551</v>
      </c>
      <c r="D1251" s="200">
        <f>E1251+I1251</f>
        <v>487.974054</v>
      </c>
      <c r="E1251" s="216">
        <f>SUM(F1251:H1251)</f>
        <v>404.674054</v>
      </c>
      <c r="F1251" s="205">
        <f>343.905554+17.55+14.22</f>
        <v>375.675554</v>
      </c>
      <c r="G1251" s="205">
        <f>28.0325+0.48+0.48</f>
        <v>28.9925</v>
      </c>
      <c r="H1251" s="205">
        <v>0.006</v>
      </c>
      <c r="I1251" s="204">
        <f>SUM(J1251:L1251)</f>
        <v>83.3</v>
      </c>
      <c r="J1251" s="212">
        <v>83.3</v>
      </c>
      <c r="K1251" s="205"/>
      <c r="L1251" s="205"/>
      <c r="M1251" s="213" t="s">
        <v>1262</v>
      </c>
      <c r="N1251" s="176">
        <f t="shared" si="555"/>
        <v>487.974054</v>
      </c>
    </row>
    <row r="1252" ht="26.25" customHeight="1" spans="1:14">
      <c r="A1252" s="217">
        <v>2130305</v>
      </c>
      <c r="B1252" s="199" t="s">
        <v>1263</v>
      </c>
      <c r="C1252" s="203"/>
      <c r="D1252" s="200">
        <f>E1252+I1252</f>
        <v>6310.7138</v>
      </c>
      <c r="E1252" s="204">
        <f>SUM(F1252:H1252)</f>
        <v>0</v>
      </c>
      <c r="F1252" s="205"/>
      <c r="G1252" s="205"/>
      <c r="H1252" s="205"/>
      <c r="I1252" s="204">
        <f>SUM(J1252:L1252)</f>
        <v>6310.7138</v>
      </c>
      <c r="J1252" s="212"/>
      <c r="K1252" s="205">
        <f>2210+168.7138</f>
        <v>2378.7138</v>
      </c>
      <c r="L1252" s="205">
        <v>3932</v>
      </c>
      <c r="M1252" s="213" t="s">
        <v>1264</v>
      </c>
      <c r="N1252" s="176">
        <f t="shared" si="555"/>
        <v>0</v>
      </c>
    </row>
    <row r="1253" ht="26.25" customHeight="1" spans="1:14">
      <c r="A1253" s="198" t="s">
        <v>1265</v>
      </c>
      <c r="B1253" s="199" t="s">
        <v>1266</v>
      </c>
      <c r="C1253" s="199"/>
      <c r="D1253" s="200">
        <f t="shared" ref="D1253:L1253" si="597">D1254</f>
        <v>676</v>
      </c>
      <c r="E1253" s="200">
        <f t="shared" si="597"/>
        <v>0</v>
      </c>
      <c r="F1253" s="200">
        <f t="shared" si="597"/>
        <v>0</v>
      </c>
      <c r="G1253" s="200">
        <f t="shared" si="597"/>
        <v>0</v>
      </c>
      <c r="H1253" s="200">
        <f t="shared" si="597"/>
        <v>0</v>
      </c>
      <c r="I1253" s="200">
        <f t="shared" si="597"/>
        <v>676</v>
      </c>
      <c r="J1253" s="200">
        <f t="shared" si="597"/>
        <v>8</v>
      </c>
      <c r="K1253" s="200">
        <f t="shared" si="597"/>
        <v>668</v>
      </c>
      <c r="L1253" s="200">
        <f t="shared" si="597"/>
        <v>0</v>
      </c>
      <c r="M1253" s="211"/>
      <c r="N1253" s="176">
        <f t="shared" si="555"/>
        <v>8</v>
      </c>
    </row>
    <row r="1254" ht="26.25" customHeight="1" spans="1:14">
      <c r="A1254" s="202"/>
      <c r="B1254" s="203"/>
      <c r="C1254" s="203" t="s">
        <v>551</v>
      </c>
      <c r="D1254" s="200">
        <f t="shared" ref="D1254:D1259" si="598">E1254+I1254</f>
        <v>676</v>
      </c>
      <c r="E1254" s="204">
        <f t="shared" ref="E1254:E1259" si="599">SUM(F1254:H1254)</f>
        <v>0</v>
      </c>
      <c r="F1254" s="205"/>
      <c r="G1254" s="205"/>
      <c r="H1254" s="205"/>
      <c r="I1254" s="204">
        <f t="shared" ref="I1254:I1259" si="600">SUM(J1254:L1254)</f>
        <v>676</v>
      </c>
      <c r="J1254" s="212">
        <v>8</v>
      </c>
      <c r="K1254" s="205">
        <v>668</v>
      </c>
      <c r="L1254" s="205"/>
      <c r="M1254" s="213" t="s">
        <v>1267</v>
      </c>
      <c r="N1254" s="176">
        <f t="shared" si="555"/>
        <v>8</v>
      </c>
    </row>
    <row r="1255" ht="26.25" customHeight="1" spans="1:14">
      <c r="A1255" s="198" t="s">
        <v>1268</v>
      </c>
      <c r="B1255" s="199" t="s">
        <v>1269</v>
      </c>
      <c r="C1255" s="199"/>
      <c r="D1255" s="200">
        <f t="shared" ref="D1255:L1255" si="601">D1256</f>
        <v>1255.604</v>
      </c>
      <c r="E1255" s="200">
        <f t="shared" si="601"/>
        <v>0</v>
      </c>
      <c r="F1255" s="200">
        <f t="shared" si="601"/>
        <v>0</v>
      </c>
      <c r="G1255" s="200">
        <f t="shared" si="601"/>
        <v>0</v>
      </c>
      <c r="H1255" s="200">
        <f t="shared" si="601"/>
        <v>0</v>
      </c>
      <c r="I1255" s="200">
        <f t="shared" si="601"/>
        <v>1255.604</v>
      </c>
      <c r="J1255" s="200">
        <f t="shared" si="601"/>
        <v>9.48</v>
      </c>
      <c r="K1255" s="200">
        <f t="shared" si="601"/>
        <v>1246.124</v>
      </c>
      <c r="L1255" s="200">
        <f t="shared" si="601"/>
        <v>0</v>
      </c>
      <c r="M1255" s="211"/>
      <c r="N1255" s="176">
        <f t="shared" si="555"/>
        <v>9.48</v>
      </c>
    </row>
    <row r="1256" ht="26.25" customHeight="1" spans="1:14">
      <c r="A1256" s="202"/>
      <c r="B1256" s="203"/>
      <c r="C1256" s="203" t="s">
        <v>551</v>
      </c>
      <c r="D1256" s="200">
        <f t="shared" si="598"/>
        <v>1255.604</v>
      </c>
      <c r="E1256" s="204">
        <f t="shared" si="599"/>
        <v>0</v>
      </c>
      <c r="F1256" s="205"/>
      <c r="G1256" s="205"/>
      <c r="H1256" s="205"/>
      <c r="I1256" s="204">
        <f t="shared" si="600"/>
        <v>1255.604</v>
      </c>
      <c r="J1256" s="212">
        <v>9.48</v>
      </c>
      <c r="K1256" s="205">
        <v>1246.124</v>
      </c>
      <c r="L1256" s="205"/>
      <c r="M1256" s="213" t="s">
        <v>1270</v>
      </c>
      <c r="N1256" s="176">
        <f t="shared" si="555"/>
        <v>9.48</v>
      </c>
    </row>
    <row r="1257" ht="26.25" customHeight="1" spans="1:14">
      <c r="A1257" s="198" t="s">
        <v>1271</v>
      </c>
      <c r="B1257" s="199" t="s">
        <v>1272</v>
      </c>
      <c r="C1257" s="199"/>
      <c r="D1257" s="200">
        <f t="shared" ref="D1257:L1257" si="602">D1258</f>
        <v>583.96</v>
      </c>
      <c r="E1257" s="200">
        <f t="shared" si="602"/>
        <v>0</v>
      </c>
      <c r="F1257" s="200">
        <f t="shared" si="602"/>
        <v>0</v>
      </c>
      <c r="G1257" s="200">
        <f t="shared" si="602"/>
        <v>0</v>
      </c>
      <c r="H1257" s="200">
        <f t="shared" si="602"/>
        <v>0</v>
      </c>
      <c r="I1257" s="200">
        <f t="shared" si="602"/>
        <v>583.96</v>
      </c>
      <c r="J1257" s="200">
        <f t="shared" si="602"/>
        <v>14.96</v>
      </c>
      <c r="K1257" s="200">
        <f t="shared" si="602"/>
        <v>569</v>
      </c>
      <c r="L1257" s="200">
        <f t="shared" si="602"/>
        <v>0</v>
      </c>
      <c r="M1257" s="211"/>
      <c r="N1257" s="176">
        <f t="shared" si="555"/>
        <v>14.96</v>
      </c>
    </row>
    <row r="1258" ht="57" customHeight="1" spans="1:14">
      <c r="A1258" s="202"/>
      <c r="B1258" s="203"/>
      <c r="C1258" s="203" t="s">
        <v>551</v>
      </c>
      <c r="D1258" s="200">
        <f t="shared" si="598"/>
        <v>583.96</v>
      </c>
      <c r="E1258" s="204">
        <f t="shared" si="599"/>
        <v>0</v>
      </c>
      <c r="F1258" s="205"/>
      <c r="G1258" s="205"/>
      <c r="H1258" s="205"/>
      <c r="I1258" s="204">
        <f t="shared" si="600"/>
        <v>583.96</v>
      </c>
      <c r="J1258" s="212">
        <v>14.96</v>
      </c>
      <c r="K1258" s="205">
        <v>569</v>
      </c>
      <c r="L1258" s="205"/>
      <c r="M1258" s="213" t="s">
        <v>1273</v>
      </c>
      <c r="N1258" s="176">
        <f t="shared" si="555"/>
        <v>14.96</v>
      </c>
    </row>
    <row r="1259" ht="26.25" customHeight="1" spans="1:14">
      <c r="A1259" s="198" t="s">
        <v>1274</v>
      </c>
      <c r="B1259" s="199" t="s">
        <v>1275</v>
      </c>
      <c r="C1259" s="199"/>
      <c r="D1259" s="200">
        <f t="shared" si="598"/>
        <v>913.49</v>
      </c>
      <c r="E1259" s="204">
        <f t="shared" si="599"/>
        <v>46.83</v>
      </c>
      <c r="F1259" s="200">
        <v>46.83</v>
      </c>
      <c r="G1259" s="200"/>
      <c r="H1259" s="200"/>
      <c r="I1259" s="204">
        <f t="shared" si="600"/>
        <v>866.66</v>
      </c>
      <c r="J1259" s="200"/>
      <c r="K1259" s="200">
        <v>866.66</v>
      </c>
      <c r="L1259" s="200"/>
      <c r="M1259" s="211"/>
      <c r="N1259" s="176">
        <f t="shared" si="555"/>
        <v>46.83</v>
      </c>
    </row>
    <row r="1260" ht="26.25" customHeight="1" spans="1:14">
      <c r="A1260" s="198" t="s">
        <v>1276</v>
      </c>
      <c r="B1260" s="199" t="s">
        <v>1277</v>
      </c>
      <c r="C1260" s="199"/>
      <c r="D1260" s="200">
        <f t="shared" ref="D1260:L1260" si="603">SUM(D1261,D1263,D1265,D1267)</f>
        <v>22473.326597</v>
      </c>
      <c r="E1260" s="200">
        <f t="shared" si="603"/>
        <v>305.581597</v>
      </c>
      <c r="F1260" s="200">
        <f t="shared" si="603"/>
        <v>277.132757</v>
      </c>
      <c r="G1260" s="200">
        <f t="shared" si="603"/>
        <v>19.724</v>
      </c>
      <c r="H1260" s="200">
        <f t="shared" si="603"/>
        <v>8.72484</v>
      </c>
      <c r="I1260" s="200">
        <f t="shared" si="603"/>
        <v>22167.745</v>
      </c>
      <c r="J1260" s="200">
        <f t="shared" si="603"/>
        <v>2784</v>
      </c>
      <c r="K1260" s="200">
        <f t="shared" si="603"/>
        <v>267.745</v>
      </c>
      <c r="L1260" s="200">
        <f t="shared" si="603"/>
        <v>19116</v>
      </c>
      <c r="M1260" s="211"/>
      <c r="N1260" s="176">
        <f t="shared" si="555"/>
        <v>3089.581597</v>
      </c>
    </row>
    <row r="1261" ht="26.25" customHeight="1" spans="1:14">
      <c r="A1261" s="198" t="s">
        <v>1278</v>
      </c>
      <c r="B1261" s="199" t="s">
        <v>295</v>
      </c>
      <c r="C1261" s="199"/>
      <c r="D1261" s="200">
        <f t="shared" ref="D1261:L1261" si="604">SUM(D1262:D1262)</f>
        <v>291.285197</v>
      </c>
      <c r="E1261" s="200">
        <f t="shared" si="604"/>
        <v>265.205197</v>
      </c>
      <c r="F1261" s="200">
        <f t="shared" si="604"/>
        <v>236.756357</v>
      </c>
      <c r="G1261" s="200">
        <f t="shared" si="604"/>
        <v>19.724</v>
      </c>
      <c r="H1261" s="200">
        <f t="shared" si="604"/>
        <v>8.72484</v>
      </c>
      <c r="I1261" s="200">
        <f t="shared" si="604"/>
        <v>26.08</v>
      </c>
      <c r="J1261" s="200">
        <f t="shared" si="604"/>
        <v>26.08</v>
      </c>
      <c r="K1261" s="200">
        <f t="shared" si="604"/>
        <v>0</v>
      </c>
      <c r="L1261" s="200">
        <f t="shared" si="604"/>
        <v>0</v>
      </c>
      <c r="M1261" s="211"/>
      <c r="N1261" s="176">
        <f t="shared" si="555"/>
        <v>291.285197</v>
      </c>
    </row>
    <row r="1262" ht="26.25" customHeight="1" spans="1:14">
      <c r="A1262" s="202"/>
      <c r="B1262" s="203"/>
      <c r="C1262" s="203" t="s">
        <v>557</v>
      </c>
      <c r="D1262" s="200">
        <f>E1262+I1262</f>
        <v>291.285197</v>
      </c>
      <c r="E1262" s="204">
        <f>SUM(F1262:H1262)</f>
        <v>265.205197</v>
      </c>
      <c r="F1262" s="205">
        <v>236.756357</v>
      </c>
      <c r="G1262" s="205">
        <v>19.724</v>
      </c>
      <c r="H1262" s="205">
        <v>8.72484</v>
      </c>
      <c r="I1262" s="204">
        <f>SUM(J1262:L1262)</f>
        <v>26.08</v>
      </c>
      <c r="J1262" s="212">
        <f>26.08</f>
        <v>26.08</v>
      </c>
      <c r="K1262" s="205"/>
      <c r="L1262" s="205"/>
      <c r="M1262" s="213" t="s">
        <v>1279</v>
      </c>
      <c r="N1262" s="176">
        <f t="shared" ref="N1262:N1273" si="605">J1262+E1262</f>
        <v>291.285197</v>
      </c>
    </row>
    <row r="1263" ht="26.25" customHeight="1" spans="1:14">
      <c r="A1263" s="198" t="s">
        <v>1280</v>
      </c>
      <c r="B1263" s="199" t="s">
        <v>1281</v>
      </c>
      <c r="C1263" s="199"/>
      <c r="D1263" s="200">
        <f t="shared" ref="D1263:L1263" si="606">D1264</f>
        <v>19127.005</v>
      </c>
      <c r="E1263" s="200">
        <f t="shared" si="606"/>
        <v>0</v>
      </c>
      <c r="F1263" s="200">
        <f t="shared" si="606"/>
        <v>0</v>
      </c>
      <c r="G1263" s="200">
        <f t="shared" si="606"/>
        <v>0</v>
      </c>
      <c r="H1263" s="200">
        <f t="shared" si="606"/>
        <v>0</v>
      </c>
      <c r="I1263" s="200">
        <f t="shared" si="606"/>
        <v>19127.005</v>
      </c>
      <c r="J1263" s="200">
        <f t="shared" si="606"/>
        <v>11</v>
      </c>
      <c r="K1263" s="200">
        <f t="shared" si="606"/>
        <v>0.005</v>
      </c>
      <c r="L1263" s="200">
        <f t="shared" si="606"/>
        <v>19116</v>
      </c>
      <c r="M1263" s="211"/>
      <c r="N1263" s="176">
        <f t="shared" si="605"/>
        <v>11</v>
      </c>
    </row>
    <row r="1264" ht="26.25" customHeight="1" spans="1:14">
      <c r="A1264" s="202"/>
      <c r="B1264" s="203"/>
      <c r="C1264" s="226" t="s">
        <v>557</v>
      </c>
      <c r="D1264" s="200">
        <f>E1264+I1264</f>
        <v>19127.005</v>
      </c>
      <c r="E1264" s="204">
        <f>SUM(F1264:H1264)</f>
        <v>0</v>
      </c>
      <c r="F1264" s="205"/>
      <c r="G1264" s="205"/>
      <c r="H1264" s="205"/>
      <c r="I1264" s="204">
        <f>SUM(J1264:L1264)</f>
        <v>19127.005</v>
      </c>
      <c r="J1264" s="212">
        <v>11</v>
      </c>
      <c r="K1264" s="205">
        <v>0.005</v>
      </c>
      <c r="L1264" s="205">
        <v>19116</v>
      </c>
      <c r="M1264" s="213" t="s">
        <v>1282</v>
      </c>
      <c r="N1264" s="176">
        <f t="shared" si="605"/>
        <v>11</v>
      </c>
    </row>
    <row r="1265" ht="26.25" customHeight="1" spans="1:14">
      <c r="A1265" s="198" t="s">
        <v>1283</v>
      </c>
      <c r="B1265" s="199" t="s">
        <v>369</v>
      </c>
      <c r="C1265" s="199"/>
      <c r="D1265" s="200">
        <f t="shared" ref="D1265:L1265" si="607">SUM(D1266:D1266)</f>
        <v>40.3764</v>
      </c>
      <c r="E1265" s="200">
        <f t="shared" si="607"/>
        <v>40.3764</v>
      </c>
      <c r="F1265" s="200">
        <f t="shared" si="607"/>
        <v>40.3764</v>
      </c>
      <c r="G1265" s="200">
        <f t="shared" si="607"/>
        <v>0</v>
      </c>
      <c r="H1265" s="200">
        <f t="shared" si="607"/>
        <v>0</v>
      </c>
      <c r="I1265" s="200">
        <f t="shared" si="607"/>
        <v>0</v>
      </c>
      <c r="J1265" s="200">
        <f t="shared" si="607"/>
        <v>0</v>
      </c>
      <c r="K1265" s="200">
        <f t="shared" si="607"/>
        <v>0</v>
      </c>
      <c r="L1265" s="200">
        <f t="shared" si="607"/>
        <v>0</v>
      </c>
      <c r="M1265" s="211"/>
      <c r="N1265" s="176">
        <f t="shared" si="605"/>
        <v>40.3764</v>
      </c>
    </row>
    <row r="1266" ht="26.25" customHeight="1" spans="1:14">
      <c r="A1266" s="202"/>
      <c r="B1266" s="203"/>
      <c r="C1266" s="203" t="s">
        <v>557</v>
      </c>
      <c r="D1266" s="200">
        <f>E1266+I1266</f>
        <v>40.3764</v>
      </c>
      <c r="E1266" s="204">
        <f>SUM(F1266:H1266)</f>
        <v>40.3764</v>
      </c>
      <c r="F1266" s="205">
        <v>40.3764</v>
      </c>
      <c r="G1266" s="205"/>
      <c r="H1266" s="205"/>
      <c r="I1266" s="204">
        <f>SUM(J1266:L1266)</f>
        <v>0</v>
      </c>
      <c r="J1266" s="212"/>
      <c r="K1266" s="205"/>
      <c r="L1266" s="205"/>
      <c r="M1266" s="213"/>
      <c r="N1266" s="176">
        <f t="shared" si="605"/>
        <v>40.3764</v>
      </c>
    </row>
    <row r="1267" ht="26.25" customHeight="1" spans="1:14">
      <c r="A1267" s="198" t="s">
        <v>1284</v>
      </c>
      <c r="B1267" s="199" t="s">
        <v>1285</v>
      </c>
      <c r="C1267" s="199"/>
      <c r="D1267" s="200">
        <f t="shared" ref="D1267:L1267" si="608">SUM(D1268:D1270)</f>
        <v>3014.66</v>
      </c>
      <c r="E1267" s="200">
        <f t="shared" si="608"/>
        <v>0</v>
      </c>
      <c r="F1267" s="200">
        <f t="shared" si="608"/>
        <v>0</v>
      </c>
      <c r="G1267" s="200">
        <f t="shared" si="608"/>
        <v>0</v>
      </c>
      <c r="H1267" s="200">
        <f t="shared" si="608"/>
        <v>0</v>
      </c>
      <c r="I1267" s="200">
        <f t="shared" si="608"/>
        <v>3014.66</v>
      </c>
      <c r="J1267" s="200">
        <f t="shared" si="608"/>
        <v>2746.92</v>
      </c>
      <c r="K1267" s="200">
        <f t="shared" si="608"/>
        <v>267.74</v>
      </c>
      <c r="L1267" s="200">
        <f t="shared" si="608"/>
        <v>0</v>
      </c>
      <c r="M1267" s="211"/>
      <c r="N1267" s="176">
        <f t="shared" si="605"/>
        <v>2746.92</v>
      </c>
    </row>
    <row r="1268" ht="26.25" customHeight="1" spans="1:14">
      <c r="A1268" s="202"/>
      <c r="B1268" s="203"/>
      <c r="C1268" s="203" t="s">
        <v>548</v>
      </c>
      <c r="D1268" s="200">
        <f>E1268+I1268</f>
        <v>900</v>
      </c>
      <c r="E1268" s="204">
        <f>SUM(F1268:H1268)</f>
        <v>0</v>
      </c>
      <c r="F1268" s="205"/>
      <c r="G1268" s="205"/>
      <c r="H1268" s="205"/>
      <c r="I1268" s="204">
        <f>SUM(J1268:L1268)</f>
        <v>900</v>
      </c>
      <c r="J1268" s="212">
        <v>900</v>
      </c>
      <c r="K1268" s="205"/>
      <c r="L1268" s="205"/>
      <c r="M1268" s="213" t="s">
        <v>1286</v>
      </c>
      <c r="N1268" s="176">
        <f t="shared" si="605"/>
        <v>900</v>
      </c>
    </row>
    <row r="1269" ht="34.05" customHeight="1" spans="1:14">
      <c r="A1269" s="202"/>
      <c r="B1269" s="203"/>
      <c r="C1269" s="203" t="s">
        <v>557</v>
      </c>
      <c r="D1269" s="200">
        <f>E1269+I1269</f>
        <v>332.34</v>
      </c>
      <c r="E1269" s="204">
        <f>SUM(F1269:H1269)</f>
        <v>0</v>
      </c>
      <c r="F1269" s="205"/>
      <c r="G1269" s="205"/>
      <c r="H1269" s="205"/>
      <c r="I1269" s="204">
        <f>SUM(J1269:L1269)</f>
        <v>332.34</v>
      </c>
      <c r="J1269" s="212">
        <f>70.4-5.8</f>
        <v>64.6</v>
      </c>
      <c r="K1269" s="205">
        <v>267.74</v>
      </c>
      <c r="L1269" s="205"/>
      <c r="M1269" s="213" t="s">
        <v>1287</v>
      </c>
      <c r="N1269" s="176">
        <f t="shared" si="605"/>
        <v>64.6</v>
      </c>
    </row>
    <row r="1270" ht="43.05" customHeight="1" spans="1:14">
      <c r="A1270" s="202"/>
      <c r="B1270" s="203"/>
      <c r="C1270" s="203"/>
      <c r="D1270" s="200">
        <f>E1270+I1270</f>
        <v>1782.32</v>
      </c>
      <c r="E1270" s="204">
        <f>SUM(F1270:H1270)</f>
        <v>0</v>
      </c>
      <c r="F1270" s="205"/>
      <c r="G1270" s="205"/>
      <c r="H1270" s="205"/>
      <c r="I1270" s="204">
        <f>SUM(J1270:L1270)</f>
        <v>1782.32</v>
      </c>
      <c r="J1270" s="212">
        <f>1250+532.32</f>
        <v>1782.32</v>
      </c>
      <c r="K1270" s="205"/>
      <c r="L1270" s="205"/>
      <c r="M1270" s="213" t="s">
        <v>1288</v>
      </c>
      <c r="N1270" s="176">
        <f t="shared" si="605"/>
        <v>1782.32</v>
      </c>
    </row>
    <row r="1271" ht="26.25" customHeight="1" spans="1:14">
      <c r="A1271" s="198" t="s">
        <v>1289</v>
      </c>
      <c r="B1271" s="199" t="s">
        <v>1290</v>
      </c>
      <c r="C1271" s="199"/>
      <c r="D1271" s="200">
        <f t="shared" ref="D1271:L1271" si="609">SUM(D1272,D1273,D1276)</f>
        <v>6610.678</v>
      </c>
      <c r="E1271" s="200">
        <f t="shared" si="609"/>
        <v>3718.678</v>
      </c>
      <c r="F1271" s="200">
        <f t="shared" si="609"/>
        <v>3268.678</v>
      </c>
      <c r="G1271" s="200">
        <f t="shared" si="609"/>
        <v>450</v>
      </c>
      <c r="H1271" s="200">
        <f t="shared" si="609"/>
        <v>0</v>
      </c>
      <c r="I1271" s="200">
        <f t="shared" si="609"/>
        <v>2892</v>
      </c>
      <c r="J1271" s="200">
        <f t="shared" si="609"/>
        <v>768</v>
      </c>
      <c r="K1271" s="200">
        <f t="shared" si="609"/>
        <v>0</v>
      </c>
      <c r="L1271" s="200">
        <f t="shared" si="609"/>
        <v>2124</v>
      </c>
      <c r="M1271" s="211"/>
      <c r="N1271" s="176">
        <f t="shared" si="605"/>
        <v>4486.678</v>
      </c>
    </row>
    <row r="1272" ht="26.25" customHeight="1" spans="1:14">
      <c r="A1272" s="217">
        <v>2130701</v>
      </c>
      <c r="B1272" s="199" t="s">
        <v>1291</v>
      </c>
      <c r="C1272" s="199"/>
      <c r="D1272" s="200">
        <f>E1272+I1272</f>
        <v>768</v>
      </c>
      <c r="E1272" s="200">
        <f>SUM(F1272:H1272)</f>
        <v>0</v>
      </c>
      <c r="F1272" s="200"/>
      <c r="G1272" s="200"/>
      <c r="H1272" s="200"/>
      <c r="I1272" s="200">
        <f>SUM(J1272:L1272)</f>
        <v>768</v>
      </c>
      <c r="J1272" s="200">
        <v>768</v>
      </c>
      <c r="K1272" s="200"/>
      <c r="L1272" s="200"/>
      <c r="M1272" s="213" t="s">
        <v>1292</v>
      </c>
      <c r="N1272" s="176">
        <f t="shared" si="605"/>
        <v>768</v>
      </c>
    </row>
    <row r="1273" ht="26.25" customHeight="1" spans="1:14">
      <c r="A1273" s="198" t="s">
        <v>1293</v>
      </c>
      <c r="B1273" s="199" t="s">
        <v>1294</v>
      </c>
      <c r="C1273" s="199"/>
      <c r="D1273" s="200">
        <f>SUM(D1274,D1275)</f>
        <v>3718.678</v>
      </c>
      <c r="E1273" s="200">
        <f>SUM(E1274,E1275)</f>
        <v>3718.678</v>
      </c>
      <c r="F1273" s="200">
        <f>SUM(F1274,F1275)</f>
        <v>3268.678</v>
      </c>
      <c r="G1273" s="200">
        <f>SUM(G1274,G1275)</f>
        <v>450</v>
      </c>
      <c r="H1273" s="200">
        <f>SUM(H1274,H1275)</f>
        <v>0</v>
      </c>
      <c r="I1273" s="200">
        <f>SUM(I1275:I1275)</f>
        <v>0</v>
      </c>
      <c r="J1273" s="200">
        <f>SUM(J1275:J1275)</f>
        <v>0</v>
      </c>
      <c r="K1273" s="200">
        <f>SUM(K1275:K1275)</f>
        <v>0</v>
      </c>
      <c r="L1273" s="200">
        <f>SUM(L1275:L1275)</f>
        <v>0</v>
      </c>
      <c r="M1273" s="211"/>
      <c r="N1273" s="176">
        <f t="shared" si="605"/>
        <v>3718.678</v>
      </c>
    </row>
    <row r="1274" ht="26.25" customHeight="1" spans="1:13">
      <c r="A1274" s="198"/>
      <c r="B1274" s="199"/>
      <c r="C1274" s="199" t="s">
        <v>1295</v>
      </c>
      <c r="D1274" s="200">
        <f>E1274+I1274</f>
        <v>3468.678</v>
      </c>
      <c r="E1274" s="200">
        <f>SUM(F1274:H1274)</f>
        <v>3468.678</v>
      </c>
      <c r="F1274" s="200">
        <v>3018.678</v>
      </c>
      <c r="G1274" s="200">
        <v>450</v>
      </c>
      <c r="H1274" s="200">
        <v>0</v>
      </c>
      <c r="I1274" s="200"/>
      <c r="J1274" s="200"/>
      <c r="K1274" s="200"/>
      <c r="L1274" s="200"/>
      <c r="M1274" s="211"/>
    </row>
    <row r="1275" ht="26.25" customHeight="1" spans="1:14">
      <c r="A1275" s="202"/>
      <c r="B1275" s="203"/>
      <c r="C1275" s="203"/>
      <c r="D1275" s="200">
        <f>E1275+I1275</f>
        <v>250</v>
      </c>
      <c r="E1275" s="204">
        <f>SUM(F1275:H1275)</f>
        <v>250</v>
      </c>
      <c r="F1275" s="205">
        <v>250</v>
      </c>
      <c r="G1275" s="205"/>
      <c r="H1275" s="205"/>
      <c r="I1275" s="204">
        <f>SUM(J1275:L1275)</f>
        <v>0</v>
      </c>
      <c r="J1275" s="212"/>
      <c r="K1275" s="205"/>
      <c r="L1275" s="205"/>
      <c r="M1275" s="213" t="s">
        <v>1296</v>
      </c>
      <c r="N1275" s="176">
        <f t="shared" ref="N1275:N1280" si="610">J1275+E1275</f>
        <v>250</v>
      </c>
    </row>
    <row r="1276" ht="24" customHeight="1" spans="1:14">
      <c r="A1276" s="217">
        <v>2130799</v>
      </c>
      <c r="B1276" s="203" t="s">
        <v>1297</v>
      </c>
      <c r="C1276" s="203"/>
      <c r="D1276" s="200">
        <f>E1276+I1276</f>
        <v>2124</v>
      </c>
      <c r="E1276" s="204">
        <f>SUM(F1276:H1276)</f>
        <v>0</v>
      </c>
      <c r="F1276" s="205"/>
      <c r="G1276" s="205"/>
      <c r="H1276" s="205"/>
      <c r="I1276" s="204">
        <f>SUM(J1276:L1276)</f>
        <v>2124</v>
      </c>
      <c r="J1276" s="212"/>
      <c r="K1276" s="205"/>
      <c r="L1276" s="205">
        <v>2124</v>
      </c>
      <c r="M1276" s="213" t="s">
        <v>1298</v>
      </c>
      <c r="N1276" s="176">
        <f t="shared" si="610"/>
        <v>0</v>
      </c>
    </row>
    <row r="1277" ht="26.25" customHeight="1" spans="1:14">
      <c r="A1277" s="217">
        <v>21308</v>
      </c>
      <c r="B1277" s="203" t="s">
        <v>1299</v>
      </c>
      <c r="C1277" s="203"/>
      <c r="D1277" s="200">
        <f t="shared" ref="D1277:L1277" si="611">D1278+D1279</f>
        <v>4441.17</v>
      </c>
      <c r="E1277" s="200">
        <f t="shared" si="611"/>
        <v>0</v>
      </c>
      <c r="F1277" s="200">
        <f t="shared" si="611"/>
        <v>0</v>
      </c>
      <c r="G1277" s="200">
        <f t="shared" si="611"/>
        <v>0</v>
      </c>
      <c r="H1277" s="200">
        <f t="shared" si="611"/>
        <v>0</v>
      </c>
      <c r="I1277" s="200">
        <f t="shared" si="611"/>
        <v>4441.17</v>
      </c>
      <c r="J1277" s="200">
        <f t="shared" si="611"/>
        <v>160</v>
      </c>
      <c r="K1277" s="200">
        <f t="shared" si="611"/>
        <v>0</v>
      </c>
      <c r="L1277" s="200">
        <f t="shared" si="611"/>
        <v>4281.17</v>
      </c>
      <c r="M1277" s="213"/>
      <c r="N1277" s="176">
        <f t="shared" si="610"/>
        <v>160</v>
      </c>
    </row>
    <row r="1278" ht="33" customHeight="1" spans="1:14">
      <c r="A1278" s="217">
        <v>2130803</v>
      </c>
      <c r="B1278" s="203" t="s">
        <v>1300</v>
      </c>
      <c r="C1278" s="203"/>
      <c r="D1278" s="200">
        <f t="shared" ref="D1278:D1283" si="612">E1278+I1278</f>
        <v>4415</v>
      </c>
      <c r="E1278" s="204">
        <f t="shared" ref="E1278:E1283" si="613">SUM(F1278:H1278)</f>
        <v>0</v>
      </c>
      <c r="F1278" s="205"/>
      <c r="G1278" s="205"/>
      <c r="H1278" s="205"/>
      <c r="I1278" s="204">
        <f t="shared" ref="I1278:I1283" si="614">SUM(J1278:L1278)</f>
        <v>4415</v>
      </c>
      <c r="J1278" s="212">
        <v>160</v>
      </c>
      <c r="K1278" s="205"/>
      <c r="L1278" s="205">
        <v>4255</v>
      </c>
      <c r="M1278" s="213" t="s">
        <v>1301</v>
      </c>
      <c r="N1278" s="176">
        <f t="shared" si="610"/>
        <v>160</v>
      </c>
    </row>
    <row r="1279" ht="26.25" customHeight="1" spans="1:14">
      <c r="A1279" s="217">
        <v>2130804</v>
      </c>
      <c r="B1279" s="203" t="s">
        <v>1302</v>
      </c>
      <c r="C1279" s="203"/>
      <c r="D1279" s="200">
        <f t="shared" si="612"/>
        <v>26.17</v>
      </c>
      <c r="E1279" s="204">
        <f t="shared" si="613"/>
        <v>0</v>
      </c>
      <c r="F1279" s="205"/>
      <c r="G1279" s="205"/>
      <c r="H1279" s="205"/>
      <c r="I1279" s="204">
        <f t="shared" si="614"/>
        <v>26.17</v>
      </c>
      <c r="J1279" s="212"/>
      <c r="K1279" s="205"/>
      <c r="L1279" s="205">
        <v>26.17</v>
      </c>
      <c r="M1279" s="213" t="s">
        <v>1303</v>
      </c>
      <c r="N1279" s="176">
        <f t="shared" si="610"/>
        <v>0</v>
      </c>
    </row>
    <row r="1280" ht="26.25" customHeight="1" spans="1:14">
      <c r="A1280" s="198" t="s">
        <v>1304</v>
      </c>
      <c r="B1280" s="199" t="s">
        <v>1305</v>
      </c>
      <c r="C1280" s="199"/>
      <c r="D1280" s="200">
        <f t="shared" ref="D1280:L1280" si="615">D1281</f>
        <v>9652.825829</v>
      </c>
      <c r="E1280" s="200">
        <f t="shared" si="615"/>
        <v>210.214029</v>
      </c>
      <c r="F1280" s="200">
        <f t="shared" si="615"/>
        <v>195.954029</v>
      </c>
      <c r="G1280" s="200">
        <f t="shared" si="615"/>
        <v>14.26</v>
      </c>
      <c r="H1280" s="200">
        <f t="shared" si="615"/>
        <v>0</v>
      </c>
      <c r="I1280" s="200">
        <f t="shared" si="615"/>
        <v>9442.6118</v>
      </c>
      <c r="J1280" s="200">
        <f t="shared" si="615"/>
        <v>197.52</v>
      </c>
      <c r="K1280" s="200">
        <f t="shared" si="615"/>
        <v>9030.0918</v>
      </c>
      <c r="L1280" s="200">
        <f t="shared" si="615"/>
        <v>215</v>
      </c>
      <c r="M1280" s="211"/>
      <c r="N1280" s="176">
        <f t="shared" si="610"/>
        <v>407.734029</v>
      </c>
    </row>
    <row r="1281" ht="26.25" customHeight="1" spans="1:14">
      <c r="A1281" s="198" t="s">
        <v>1306</v>
      </c>
      <c r="B1281" s="199" t="s">
        <v>1305</v>
      </c>
      <c r="C1281" s="199"/>
      <c r="D1281" s="200">
        <f t="shared" ref="D1281:L1281" si="616">D1282+D1283</f>
        <v>9652.825829</v>
      </c>
      <c r="E1281" s="200">
        <f t="shared" si="616"/>
        <v>210.214029</v>
      </c>
      <c r="F1281" s="200">
        <f t="shared" si="616"/>
        <v>195.954029</v>
      </c>
      <c r="G1281" s="200">
        <f t="shared" si="616"/>
        <v>14.26</v>
      </c>
      <c r="H1281" s="200">
        <f t="shared" si="616"/>
        <v>0</v>
      </c>
      <c r="I1281" s="200">
        <f t="shared" si="616"/>
        <v>9442.6118</v>
      </c>
      <c r="J1281" s="200">
        <f t="shared" si="616"/>
        <v>197.52</v>
      </c>
      <c r="K1281" s="200">
        <f t="shared" si="616"/>
        <v>9030.0918</v>
      </c>
      <c r="L1281" s="200">
        <f t="shared" si="616"/>
        <v>215</v>
      </c>
      <c r="M1281" s="211"/>
      <c r="N1281" s="176">
        <f t="shared" ref="N1281:N1344" si="617">J1281+E1281</f>
        <v>407.734029</v>
      </c>
    </row>
    <row r="1282" ht="77" customHeight="1" spans="1:14">
      <c r="A1282" s="202"/>
      <c r="B1282" s="203"/>
      <c r="C1282" s="203" t="s">
        <v>558</v>
      </c>
      <c r="D1282" s="200">
        <f t="shared" si="612"/>
        <v>239.734029</v>
      </c>
      <c r="E1282" s="204">
        <f t="shared" si="613"/>
        <v>210.214029</v>
      </c>
      <c r="F1282" s="205">
        <v>195.954029</v>
      </c>
      <c r="G1282" s="205">
        <v>14.26</v>
      </c>
      <c r="H1282" s="205"/>
      <c r="I1282" s="204">
        <f t="shared" si="614"/>
        <v>29.52</v>
      </c>
      <c r="J1282" s="212">
        <v>29.52</v>
      </c>
      <c r="K1282" s="205"/>
      <c r="L1282" s="205"/>
      <c r="M1282" s="213" t="s">
        <v>1307</v>
      </c>
      <c r="N1282" s="176">
        <f t="shared" si="617"/>
        <v>239.734029</v>
      </c>
    </row>
    <row r="1283" ht="29" customHeight="1" spans="1:14">
      <c r="A1283" s="202"/>
      <c r="B1283" s="203"/>
      <c r="C1283" s="203"/>
      <c r="D1283" s="200">
        <f t="shared" si="612"/>
        <v>9413.0918</v>
      </c>
      <c r="E1283" s="204">
        <f t="shared" si="613"/>
        <v>0</v>
      </c>
      <c r="F1283" s="205"/>
      <c r="G1283" s="205"/>
      <c r="H1283" s="205"/>
      <c r="I1283" s="204">
        <f t="shared" si="614"/>
        <v>9413.0918</v>
      </c>
      <c r="J1283" s="212">
        <v>168</v>
      </c>
      <c r="K1283" s="205">
        <f>4+9026.0918</f>
        <v>9030.0918</v>
      </c>
      <c r="L1283" s="205">
        <v>215</v>
      </c>
      <c r="M1283" s="213" t="s">
        <v>1308</v>
      </c>
      <c r="N1283" s="176">
        <f t="shared" si="617"/>
        <v>168</v>
      </c>
    </row>
    <row r="1284" ht="26.25" customHeight="1" spans="1:14">
      <c r="A1284" s="198" t="s">
        <v>1309</v>
      </c>
      <c r="B1284" s="199" t="s">
        <v>1310</v>
      </c>
      <c r="C1284" s="199"/>
      <c r="D1284" s="200">
        <f>SUM(D1285,D1297,D1294)</f>
        <v>1692.203144</v>
      </c>
      <c r="E1284" s="200">
        <f t="shared" ref="E1284:L1284" si="618">SUM(E1285,E1297,E1294)</f>
        <v>598.675044</v>
      </c>
      <c r="F1284" s="200">
        <f t="shared" si="618"/>
        <v>541.589004</v>
      </c>
      <c r="G1284" s="200">
        <f t="shared" si="618"/>
        <v>28.704</v>
      </c>
      <c r="H1284" s="200">
        <f t="shared" si="618"/>
        <v>28.38204</v>
      </c>
      <c r="I1284" s="200">
        <f t="shared" si="618"/>
        <v>1093.5281</v>
      </c>
      <c r="J1284" s="200">
        <f t="shared" si="618"/>
        <v>375.22</v>
      </c>
      <c r="K1284" s="200">
        <f t="shared" si="618"/>
        <v>438.3081</v>
      </c>
      <c r="L1284" s="200">
        <f t="shared" si="618"/>
        <v>280</v>
      </c>
      <c r="M1284" s="211"/>
      <c r="N1284" s="176">
        <f t="shared" si="617"/>
        <v>973.895044</v>
      </c>
    </row>
    <row r="1285" ht="26.25" customHeight="1" spans="1:14">
      <c r="A1285" s="198" t="s">
        <v>1311</v>
      </c>
      <c r="B1285" s="199" t="s">
        <v>1312</v>
      </c>
      <c r="C1285" s="199"/>
      <c r="D1285" s="200">
        <f t="shared" ref="D1285:L1285" si="619">D1286+D1288+D1290+D1292</f>
        <v>913.403144</v>
      </c>
      <c r="E1285" s="200">
        <f t="shared" si="619"/>
        <v>598.675044</v>
      </c>
      <c r="F1285" s="200">
        <f t="shared" si="619"/>
        <v>541.589004</v>
      </c>
      <c r="G1285" s="200">
        <f t="shared" si="619"/>
        <v>28.704</v>
      </c>
      <c r="H1285" s="200">
        <f t="shared" si="619"/>
        <v>28.38204</v>
      </c>
      <c r="I1285" s="200">
        <f t="shared" si="619"/>
        <v>314.7281</v>
      </c>
      <c r="J1285" s="200">
        <f t="shared" si="619"/>
        <v>302.42</v>
      </c>
      <c r="K1285" s="200">
        <f t="shared" si="619"/>
        <v>12.3081</v>
      </c>
      <c r="L1285" s="200">
        <f t="shared" si="619"/>
        <v>0</v>
      </c>
      <c r="M1285" s="211"/>
      <c r="N1285" s="176">
        <f t="shared" si="617"/>
        <v>901.095044</v>
      </c>
    </row>
    <row r="1286" ht="26.25" customHeight="1" spans="1:14">
      <c r="A1286" s="198" t="s">
        <v>1313</v>
      </c>
      <c r="B1286" s="199" t="s">
        <v>295</v>
      </c>
      <c r="C1286" s="199"/>
      <c r="D1286" s="200">
        <f t="shared" ref="D1286:L1286" si="620">D1287</f>
        <v>492.036948</v>
      </c>
      <c r="E1286" s="200">
        <f t="shared" si="620"/>
        <v>491.616948</v>
      </c>
      <c r="F1286" s="200">
        <f t="shared" si="620"/>
        <v>434.542908</v>
      </c>
      <c r="G1286" s="200">
        <f t="shared" si="620"/>
        <v>28.704</v>
      </c>
      <c r="H1286" s="200">
        <f t="shared" si="620"/>
        <v>28.37004</v>
      </c>
      <c r="I1286" s="200">
        <f t="shared" si="620"/>
        <v>0.42</v>
      </c>
      <c r="J1286" s="200">
        <f t="shared" si="620"/>
        <v>0.42</v>
      </c>
      <c r="K1286" s="200">
        <f t="shared" si="620"/>
        <v>0</v>
      </c>
      <c r="L1286" s="200">
        <f t="shared" si="620"/>
        <v>0</v>
      </c>
      <c r="M1286" s="211"/>
      <c r="N1286" s="176">
        <f t="shared" si="617"/>
        <v>492.036948</v>
      </c>
    </row>
    <row r="1287" ht="26.25" customHeight="1" spans="1:14">
      <c r="A1287" s="202"/>
      <c r="B1287" s="203"/>
      <c r="C1287" s="203" t="s">
        <v>540</v>
      </c>
      <c r="D1287" s="200">
        <f t="shared" ref="D1287:D1291" si="621">E1287+I1287</f>
        <v>492.036948</v>
      </c>
      <c r="E1287" s="204">
        <f t="shared" ref="E1287:E1291" si="622">SUM(F1287:H1287)</f>
        <v>491.616948</v>
      </c>
      <c r="F1287" s="205">
        <f>340.942908+93.6</f>
        <v>434.542908</v>
      </c>
      <c r="G1287" s="205">
        <f>19.284+9.42</f>
        <v>28.704</v>
      </c>
      <c r="H1287" s="205">
        <f>8.57004+19.8</f>
        <v>28.37004</v>
      </c>
      <c r="I1287" s="204">
        <f t="shared" ref="I1287:I1291" si="623">SUM(J1287:L1287)</f>
        <v>0.42</v>
      </c>
      <c r="J1287" s="212">
        <v>0.42</v>
      </c>
      <c r="K1287" s="205"/>
      <c r="L1287" s="205"/>
      <c r="M1287" s="213" t="s">
        <v>1314</v>
      </c>
      <c r="N1287" s="176">
        <f t="shared" si="617"/>
        <v>492.036948</v>
      </c>
    </row>
    <row r="1288" ht="26.25" customHeight="1" spans="1:14">
      <c r="A1288" s="198" t="s">
        <v>1315</v>
      </c>
      <c r="B1288" s="199" t="s">
        <v>1316</v>
      </c>
      <c r="C1288" s="199"/>
      <c r="D1288" s="200">
        <f t="shared" ref="D1288:L1288" si="624">D1289</f>
        <v>357.058096</v>
      </c>
      <c r="E1288" s="200">
        <f t="shared" si="624"/>
        <v>107.058096</v>
      </c>
      <c r="F1288" s="200">
        <f t="shared" si="624"/>
        <v>107.046096</v>
      </c>
      <c r="G1288" s="200">
        <f t="shared" si="624"/>
        <v>0</v>
      </c>
      <c r="H1288" s="200">
        <f t="shared" si="624"/>
        <v>0.012</v>
      </c>
      <c r="I1288" s="200">
        <f t="shared" si="624"/>
        <v>250</v>
      </c>
      <c r="J1288" s="200">
        <f t="shared" si="624"/>
        <v>250</v>
      </c>
      <c r="K1288" s="200">
        <f t="shared" si="624"/>
        <v>0</v>
      </c>
      <c r="L1288" s="200">
        <f t="shared" si="624"/>
        <v>0</v>
      </c>
      <c r="M1288" s="211"/>
      <c r="N1288" s="176">
        <f t="shared" si="617"/>
        <v>357.058096</v>
      </c>
    </row>
    <row r="1289" ht="42" customHeight="1" spans="1:14">
      <c r="A1289" s="202"/>
      <c r="B1289" s="203"/>
      <c r="C1289" s="203" t="s">
        <v>540</v>
      </c>
      <c r="D1289" s="200">
        <f t="shared" si="621"/>
        <v>357.058096</v>
      </c>
      <c r="E1289" s="204">
        <f t="shared" si="622"/>
        <v>107.058096</v>
      </c>
      <c r="F1289" s="205">
        <v>107.046096</v>
      </c>
      <c r="G1289" s="205"/>
      <c r="H1289" s="205">
        <v>0.012</v>
      </c>
      <c r="I1289" s="204">
        <f t="shared" si="623"/>
        <v>250</v>
      </c>
      <c r="J1289" s="212">
        <v>250</v>
      </c>
      <c r="K1289" s="205"/>
      <c r="L1289" s="205"/>
      <c r="M1289" s="213" t="s">
        <v>1317</v>
      </c>
      <c r="N1289" s="176">
        <f t="shared" si="617"/>
        <v>357.058096</v>
      </c>
    </row>
    <row r="1290" ht="26.25" customHeight="1" spans="1:14">
      <c r="A1290" s="198" t="s">
        <v>1318</v>
      </c>
      <c r="B1290" s="199" t="s">
        <v>1319</v>
      </c>
      <c r="C1290" s="199"/>
      <c r="D1290" s="200">
        <f t="shared" ref="D1290:L1290" si="625">D1291</f>
        <v>20</v>
      </c>
      <c r="E1290" s="200">
        <f t="shared" si="625"/>
        <v>0</v>
      </c>
      <c r="F1290" s="200">
        <f t="shared" si="625"/>
        <v>0</v>
      </c>
      <c r="G1290" s="200">
        <f t="shared" si="625"/>
        <v>0</v>
      </c>
      <c r="H1290" s="200">
        <f t="shared" si="625"/>
        <v>0</v>
      </c>
      <c r="I1290" s="200">
        <f t="shared" si="625"/>
        <v>20</v>
      </c>
      <c r="J1290" s="200">
        <f t="shared" si="625"/>
        <v>20</v>
      </c>
      <c r="K1290" s="200">
        <f t="shared" si="625"/>
        <v>0</v>
      </c>
      <c r="L1290" s="200">
        <f t="shared" si="625"/>
        <v>0</v>
      </c>
      <c r="M1290" s="211"/>
      <c r="N1290" s="176">
        <f t="shared" si="617"/>
        <v>20</v>
      </c>
    </row>
    <row r="1291" ht="26.25" customHeight="1" spans="1:14">
      <c r="A1291" s="202"/>
      <c r="B1291" s="203"/>
      <c r="C1291" s="203" t="s">
        <v>540</v>
      </c>
      <c r="D1291" s="200">
        <f t="shared" si="621"/>
        <v>20</v>
      </c>
      <c r="E1291" s="204">
        <f t="shared" si="622"/>
        <v>0</v>
      </c>
      <c r="F1291" s="205"/>
      <c r="G1291" s="205"/>
      <c r="H1291" s="205"/>
      <c r="I1291" s="204">
        <f t="shared" si="623"/>
        <v>20</v>
      </c>
      <c r="J1291" s="212">
        <v>20</v>
      </c>
      <c r="K1291" s="205"/>
      <c r="L1291" s="205"/>
      <c r="M1291" s="213" t="s">
        <v>1320</v>
      </c>
      <c r="N1291" s="176">
        <f t="shared" si="617"/>
        <v>20</v>
      </c>
    </row>
    <row r="1292" ht="26.25" customHeight="1" spans="1:14">
      <c r="A1292" s="198" t="s">
        <v>1321</v>
      </c>
      <c r="B1292" s="199" t="s">
        <v>1322</v>
      </c>
      <c r="C1292" s="199"/>
      <c r="D1292" s="200">
        <f t="shared" ref="D1292:L1292" si="626">D1293</f>
        <v>44.3081</v>
      </c>
      <c r="E1292" s="200">
        <f t="shared" si="626"/>
        <v>0</v>
      </c>
      <c r="F1292" s="200">
        <f t="shared" si="626"/>
        <v>0</v>
      </c>
      <c r="G1292" s="200">
        <f t="shared" si="626"/>
        <v>0</v>
      </c>
      <c r="H1292" s="200">
        <f t="shared" si="626"/>
        <v>0</v>
      </c>
      <c r="I1292" s="200">
        <f t="shared" si="626"/>
        <v>44.3081</v>
      </c>
      <c r="J1292" s="200">
        <f t="shared" si="626"/>
        <v>32</v>
      </c>
      <c r="K1292" s="200">
        <f t="shared" si="626"/>
        <v>12.3081</v>
      </c>
      <c r="L1292" s="200">
        <f t="shared" si="626"/>
        <v>0</v>
      </c>
      <c r="M1292" s="211"/>
      <c r="N1292" s="176">
        <f t="shared" si="617"/>
        <v>32</v>
      </c>
    </row>
    <row r="1293" ht="26.25" customHeight="1" spans="1:14">
      <c r="A1293" s="202"/>
      <c r="B1293" s="203"/>
      <c r="C1293" s="203" t="s">
        <v>540</v>
      </c>
      <c r="D1293" s="200">
        <f>E1293+I1293</f>
        <v>44.3081</v>
      </c>
      <c r="E1293" s="204">
        <f>SUM(F1293:H1293)</f>
        <v>0</v>
      </c>
      <c r="F1293" s="205"/>
      <c r="G1293" s="205"/>
      <c r="H1293" s="205"/>
      <c r="I1293" s="204">
        <f>SUM(J1293:L1293)</f>
        <v>44.3081</v>
      </c>
      <c r="J1293" s="212">
        <v>32</v>
      </c>
      <c r="K1293" s="205">
        <v>12.3081</v>
      </c>
      <c r="L1293" s="205"/>
      <c r="M1293" s="213" t="s">
        <v>1158</v>
      </c>
      <c r="N1293" s="176">
        <f t="shared" si="617"/>
        <v>32</v>
      </c>
    </row>
    <row r="1294" ht="26.25" customHeight="1" spans="1:14">
      <c r="A1294" s="217">
        <v>21406</v>
      </c>
      <c r="B1294" s="199" t="s">
        <v>1323</v>
      </c>
      <c r="C1294" s="203"/>
      <c r="D1294" s="200">
        <f>D1295</f>
        <v>426</v>
      </c>
      <c r="E1294" s="200">
        <f t="shared" ref="E1294:L1294" si="627">E1295</f>
        <v>0</v>
      </c>
      <c r="F1294" s="200">
        <f t="shared" si="627"/>
        <v>0</v>
      </c>
      <c r="G1294" s="200">
        <f t="shared" si="627"/>
        <v>0</v>
      </c>
      <c r="H1294" s="200">
        <f t="shared" si="627"/>
        <v>0</v>
      </c>
      <c r="I1294" s="200">
        <f t="shared" si="627"/>
        <v>426</v>
      </c>
      <c r="J1294" s="200">
        <f t="shared" si="627"/>
        <v>0</v>
      </c>
      <c r="K1294" s="200">
        <f t="shared" si="627"/>
        <v>426</v>
      </c>
      <c r="L1294" s="200">
        <f t="shared" si="627"/>
        <v>0</v>
      </c>
      <c r="M1294" s="213"/>
      <c r="N1294" s="176">
        <f t="shared" si="617"/>
        <v>0</v>
      </c>
    </row>
    <row r="1295" ht="26.25" customHeight="1" spans="1:14">
      <c r="A1295" s="198">
        <v>2140601</v>
      </c>
      <c r="B1295" s="199" t="s">
        <v>1324</v>
      </c>
      <c r="C1295" s="203"/>
      <c r="D1295" s="200">
        <f>D1296</f>
        <v>426</v>
      </c>
      <c r="E1295" s="200">
        <f t="shared" ref="E1295:L1295" si="628">E1296</f>
        <v>0</v>
      </c>
      <c r="F1295" s="200">
        <f t="shared" si="628"/>
        <v>0</v>
      </c>
      <c r="G1295" s="200">
        <f t="shared" si="628"/>
        <v>0</v>
      </c>
      <c r="H1295" s="200">
        <f t="shared" si="628"/>
        <v>0</v>
      </c>
      <c r="I1295" s="200">
        <f t="shared" si="628"/>
        <v>426</v>
      </c>
      <c r="J1295" s="200">
        <f t="shared" si="628"/>
        <v>0</v>
      </c>
      <c r="K1295" s="200">
        <f t="shared" si="628"/>
        <v>426</v>
      </c>
      <c r="L1295" s="200">
        <f t="shared" si="628"/>
        <v>0</v>
      </c>
      <c r="M1295" s="213"/>
      <c r="N1295" s="176">
        <f t="shared" si="617"/>
        <v>0</v>
      </c>
    </row>
    <row r="1296" ht="26.25" customHeight="1" spans="1:14">
      <c r="A1296" s="202"/>
      <c r="B1296" s="203"/>
      <c r="C1296" s="203" t="s">
        <v>540</v>
      </c>
      <c r="D1296" s="200">
        <f>E1296+I1296</f>
        <v>426</v>
      </c>
      <c r="E1296" s="204"/>
      <c r="F1296" s="205"/>
      <c r="G1296" s="205"/>
      <c r="H1296" s="205"/>
      <c r="I1296" s="204">
        <f>K1296</f>
        <v>426</v>
      </c>
      <c r="J1296" s="212"/>
      <c r="K1296" s="205">
        <v>426</v>
      </c>
      <c r="L1296" s="205"/>
      <c r="M1296" s="213"/>
      <c r="N1296" s="176">
        <f t="shared" si="617"/>
        <v>0</v>
      </c>
    </row>
    <row r="1297" ht="26.25" customHeight="1" spans="1:14">
      <c r="A1297" s="198" t="s">
        <v>1325</v>
      </c>
      <c r="B1297" s="199" t="s">
        <v>1326</v>
      </c>
      <c r="C1297" s="199"/>
      <c r="D1297" s="200">
        <f t="shared" ref="D1297:L1297" si="629">D1298+D1301</f>
        <v>352.8</v>
      </c>
      <c r="E1297" s="200">
        <f t="shared" si="629"/>
        <v>0</v>
      </c>
      <c r="F1297" s="200">
        <f t="shared" si="629"/>
        <v>0</v>
      </c>
      <c r="G1297" s="200">
        <f t="shared" si="629"/>
        <v>0</v>
      </c>
      <c r="H1297" s="200">
        <f t="shared" si="629"/>
        <v>0</v>
      </c>
      <c r="I1297" s="200">
        <f t="shared" si="629"/>
        <v>352.8</v>
      </c>
      <c r="J1297" s="200">
        <f t="shared" si="629"/>
        <v>72.8</v>
      </c>
      <c r="K1297" s="200">
        <f t="shared" si="629"/>
        <v>0</v>
      </c>
      <c r="L1297" s="200">
        <f t="shared" si="629"/>
        <v>280</v>
      </c>
      <c r="M1297" s="211"/>
      <c r="N1297" s="176">
        <f t="shared" si="617"/>
        <v>72.8</v>
      </c>
    </row>
    <row r="1298" ht="26.25" customHeight="1" spans="1:14">
      <c r="A1298" s="198" t="s">
        <v>1327</v>
      </c>
      <c r="B1298" s="199" t="s">
        <v>1328</v>
      </c>
      <c r="C1298" s="199"/>
      <c r="D1298" s="200">
        <f t="shared" ref="D1298:L1298" si="630">SUM(D1299:D1300)</f>
        <v>72.8</v>
      </c>
      <c r="E1298" s="200">
        <f t="shared" si="630"/>
        <v>0</v>
      </c>
      <c r="F1298" s="200">
        <f t="shared" si="630"/>
        <v>0</v>
      </c>
      <c r="G1298" s="200">
        <f t="shared" si="630"/>
        <v>0</v>
      </c>
      <c r="H1298" s="200">
        <f t="shared" si="630"/>
        <v>0</v>
      </c>
      <c r="I1298" s="200">
        <f t="shared" si="630"/>
        <v>72.8</v>
      </c>
      <c r="J1298" s="200">
        <f t="shared" si="630"/>
        <v>72.8</v>
      </c>
      <c r="K1298" s="200">
        <f t="shared" si="630"/>
        <v>0</v>
      </c>
      <c r="L1298" s="200">
        <f t="shared" si="630"/>
        <v>0</v>
      </c>
      <c r="M1298" s="211"/>
      <c r="N1298" s="176">
        <f t="shared" si="617"/>
        <v>72.8</v>
      </c>
    </row>
    <row r="1299" ht="26.25" customHeight="1" spans="1:14">
      <c r="A1299" s="202"/>
      <c r="B1299" s="203"/>
      <c r="C1299" s="203" t="s">
        <v>540</v>
      </c>
      <c r="D1299" s="200">
        <f>E1299+I1299</f>
        <v>32.8</v>
      </c>
      <c r="E1299" s="204">
        <f>SUM(F1299:H1299)</f>
        <v>0</v>
      </c>
      <c r="F1299" s="205"/>
      <c r="G1299" s="205"/>
      <c r="H1299" s="205"/>
      <c r="I1299" s="204">
        <f>SUM(J1299:L1299)</f>
        <v>32.8</v>
      </c>
      <c r="J1299" s="212">
        <v>32.8</v>
      </c>
      <c r="K1299" s="205"/>
      <c r="L1299" s="205"/>
      <c r="M1299" s="213" t="s">
        <v>1329</v>
      </c>
      <c r="N1299" s="176">
        <f t="shared" si="617"/>
        <v>32.8</v>
      </c>
    </row>
    <row r="1300" ht="26.25" customHeight="1" spans="1:14">
      <c r="A1300" s="202"/>
      <c r="B1300" s="203"/>
      <c r="C1300" s="203"/>
      <c r="D1300" s="200">
        <f>E1300+I1300</f>
        <v>40</v>
      </c>
      <c r="E1300" s="204">
        <f>SUM(F1300:H1300)</f>
        <v>0</v>
      </c>
      <c r="F1300" s="205"/>
      <c r="G1300" s="205"/>
      <c r="H1300" s="205"/>
      <c r="I1300" s="204">
        <f>SUM(J1300:L1300)</f>
        <v>40</v>
      </c>
      <c r="J1300" s="212">
        <v>40</v>
      </c>
      <c r="K1300" s="205"/>
      <c r="L1300" s="205"/>
      <c r="M1300" s="213" t="s">
        <v>1330</v>
      </c>
      <c r="N1300" s="176">
        <f t="shared" si="617"/>
        <v>40</v>
      </c>
    </row>
    <row r="1301" ht="26.25" customHeight="1" spans="1:14">
      <c r="A1301" s="202">
        <v>2149999</v>
      </c>
      <c r="B1301" s="203" t="s">
        <v>1326</v>
      </c>
      <c r="C1301" s="203"/>
      <c r="D1301" s="200">
        <f>E1301+I1301</f>
        <v>280</v>
      </c>
      <c r="E1301" s="204">
        <f>SUM(F1301:H1301)</f>
        <v>0</v>
      </c>
      <c r="F1301" s="205"/>
      <c r="G1301" s="205"/>
      <c r="H1301" s="205"/>
      <c r="I1301" s="204">
        <f>SUM(J1301:L1301)</f>
        <v>280</v>
      </c>
      <c r="J1301" s="212"/>
      <c r="K1301" s="205"/>
      <c r="L1301" s="205">
        <v>280</v>
      </c>
      <c r="M1301" s="213" t="s">
        <v>1331</v>
      </c>
      <c r="N1301" s="176">
        <f t="shared" si="617"/>
        <v>0</v>
      </c>
    </row>
    <row r="1302" ht="26.25" customHeight="1" spans="1:14">
      <c r="A1302" s="198" t="s">
        <v>1332</v>
      </c>
      <c r="B1302" s="199" t="s">
        <v>1333</v>
      </c>
      <c r="C1302" s="199"/>
      <c r="D1302" s="200">
        <f>SUM(D1303,D1306,D1312,D1309)</f>
        <v>1012.718558</v>
      </c>
      <c r="E1302" s="200">
        <f t="shared" ref="E1302:K1302" si="631">SUM(E1303,E1306,E1312,E1309)</f>
        <v>308.088558</v>
      </c>
      <c r="F1302" s="200">
        <f t="shared" si="631"/>
        <v>262.174298</v>
      </c>
      <c r="G1302" s="200">
        <f t="shared" si="631"/>
        <v>21.8005</v>
      </c>
      <c r="H1302" s="200">
        <f t="shared" si="631"/>
        <v>24.11376</v>
      </c>
      <c r="I1302" s="200">
        <f t="shared" si="631"/>
        <v>704.63</v>
      </c>
      <c r="J1302" s="200">
        <f t="shared" si="631"/>
        <v>84.63</v>
      </c>
      <c r="K1302" s="200">
        <f t="shared" si="631"/>
        <v>620</v>
      </c>
      <c r="L1302" s="200">
        <f>SUM(L1303,L1306,L1312)</f>
        <v>0</v>
      </c>
      <c r="M1302" s="211"/>
      <c r="N1302" s="176">
        <f t="shared" si="617"/>
        <v>392.718558</v>
      </c>
    </row>
    <row r="1303" ht="26.25" customHeight="1" spans="1:14">
      <c r="A1303" s="198" t="s">
        <v>1334</v>
      </c>
      <c r="B1303" s="199" t="s">
        <v>1335</v>
      </c>
      <c r="C1303" s="199"/>
      <c r="D1303" s="200">
        <f t="shared" ref="D1303:L1303" si="632">D1304</f>
        <v>195.457181</v>
      </c>
      <c r="E1303" s="200">
        <f t="shared" si="632"/>
        <v>116.357181</v>
      </c>
      <c r="F1303" s="200">
        <f t="shared" si="632"/>
        <v>87.226441</v>
      </c>
      <c r="G1303" s="200">
        <f t="shared" si="632"/>
        <v>10.3925</v>
      </c>
      <c r="H1303" s="200">
        <f t="shared" si="632"/>
        <v>18.73824</v>
      </c>
      <c r="I1303" s="200">
        <f t="shared" si="632"/>
        <v>79.1</v>
      </c>
      <c r="J1303" s="200">
        <f t="shared" si="632"/>
        <v>79.1</v>
      </c>
      <c r="K1303" s="200">
        <f t="shared" si="632"/>
        <v>0</v>
      </c>
      <c r="L1303" s="200">
        <f t="shared" si="632"/>
        <v>0</v>
      </c>
      <c r="M1303" s="211"/>
      <c r="N1303" s="176">
        <f t="shared" si="617"/>
        <v>195.457181</v>
      </c>
    </row>
    <row r="1304" ht="26.25" customHeight="1" spans="1:14">
      <c r="A1304" s="198" t="s">
        <v>1336</v>
      </c>
      <c r="B1304" s="199" t="s">
        <v>1337</v>
      </c>
      <c r="C1304" s="199"/>
      <c r="D1304" s="200">
        <f t="shared" ref="D1304:L1304" si="633">D1305</f>
        <v>195.457181</v>
      </c>
      <c r="E1304" s="200">
        <f t="shared" si="633"/>
        <v>116.357181</v>
      </c>
      <c r="F1304" s="200">
        <f t="shared" si="633"/>
        <v>87.226441</v>
      </c>
      <c r="G1304" s="200">
        <f t="shared" si="633"/>
        <v>10.3925</v>
      </c>
      <c r="H1304" s="200">
        <f t="shared" si="633"/>
        <v>18.73824</v>
      </c>
      <c r="I1304" s="200">
        <f t="shared" si="633"/>
        <v>79.1</v>
      </c>
      <c r="J1304" s="200">
        <f t="shared" si="633"/>
        <v>79.1</v>
      </c>
      <c r="K1304" s="200">
        <f t="shared" si="633"/>
        <v>0</v>
      </c>
      <c r="L1304" s="200">
        <f t="shared" si="633"/>
        <v>0</v>
      </c>
      <c r="M1304" s="211"/>
      <c r="N1304" s="176">
        <f t="shared" si="617"/>
        <v>195.457181</v>
      </c>
    </row>
    <row r="1305" ht="65" customHeight="1" spans="1:14">
      <c r="A1305" s="202"/>
      <c r="B1305" s="203"/>
      <c r="C1305" s="203" t="s">
        <v>561</v>
      </c>
      <c r="D1305" s="200">
        <f>E1305+I1305</f>
        <v>195.457181</v>
      </c>
      <c r="E1305" s="204">
        <f>SUM(F1305:H1305)</f>
        <v>116.357181</v>
      </c>
      <c r="F1305" s="205">
        <v>87.226441</v>
      </c>
      <c r="G1305" s="205">
        <v>10.3925</v>
      </c>
      <c r="H1305" s="205">
        <v>18.73824</v>
      </c>
      <c r="I1305" s="204">
        <f>SUM(J1305:L1305)</f>
        <v>79.1</v>
      </c>
      <c r="J1305" s="212">
        <v>79.1</v>
      </c>
      <c r="K1305" s="205"/>
      <c r="L1305" s="205"/>
      <c r="M1305" s="213" t="s">
        <v>1338</v>
      </c>
      <c r="N1305" s="176">
        <f t="shared" si="617"/>
        <v>195.457181</v>
      </c>
    </row>
    <row r="1306" ht="26.25" customHeight="1" spans="1:14">
      <c r="A1306" s="198" t="s">
        <v>1339</v>
      </c>
      <c r="B1306" s="199" t="s">
        <v>1340</v>
      </c>
      <c r="C1306" s="199"/>
      <c r="D1306" s="200">
        <f t="shared" ref="D1306:L1306" si="634">D1307</f>
        <v>98.749777</v>
      </c>
      <c r="E1306" s="200">
        <f t="shared" si="634"/>
        <v>93.219777</v>
      </c>
      <c r="F1306" s="200">
        <f t="shared" si="634"/>
        <v>76.436257</v>
      </c>
      <c r="G1306" s="200">
        <f t="shared" si="634"/>
        <v>11.408</v>
      </c>
      <c r="H1306" s="200">
        <f t="shared" si="634"/>
        <v>5.37552</v>
      </c>
      <c r="I1306" s="200">
        <f t="shared" si="634"/>
        <v>5.53</v>
      </c>
      <c r="J1306" s="200">
        <f t="shared" si="634"/>
        <v>5.53</v>
      </c>
      <c r="K1306" s="200">
        <f t="shared" si="634"/>
        <v>0</v>
      </c>
      <c r="L1306" s="200">
        <f t="shared" si="634"/>
        <v>0</v>
      </c>
      <c r="M1306" s="211"/>
      <c r="N1306" s="176">
        <f t="shared" si="617"/>
        <v>98.749777</v>
      </c>
    </row>
    <row r="1307" ht="26.25" customHeight="1" spans="1:14">
      <c r="A1307" s="198" t="s">
        <v>1341</v>
      </c>
      <c r="B1307" s="199" t="s">
        <v>295</v>
      </c>
      <c r="C1307" s="199"/>
      <c r="D1307" s="200">
        <f t="shared" ref="D1307:L1307" si="635">D1308</f>
        <v>98.749777</v>
      </c>
      <c r="E1307" s="200">
        <f t="shared" si="635"/>
        <v>93.219777</v>
      </c>
      <c r="F1307" s="200">
        <f t="shared" si="635"/>
        <v>76.436257</v>
      </c>
      <c r="G1307" s="200">
        <f t="shared" si="635"/>
        <v>11.408</v>
      </c>
      <c r="H1307" s="200">
        <f t="shared" si="635"/>
        <v>5.37552</v>
      </c>
      <c r="I1307" s="200">
        <f t="shared" si="635"/>
        <v>5.53</v>
      </c>
      <c r="J1307" s="200">
        <f t="shared" si="635"/>
        <v>5.53</v>
      </c>
      <c r="K1307" s="200">
        <f t="shared" si="635"/>
        <v>0</v>
      </c>
      <c r="L1307" s="200">
        <f t="shared" si="635"/>
        <v>0</v>
      </c>
      <c r="M1307" s="211"/>
      <c r="N1307" s="176">
        <f t="shared" si="617"/>
        <v>98.749777</v>
      </c>
    </row>
    <row r="1308" ht="70" customHeight="1" spans="1:14">
      <c r="A1308" s="202"/>
      <c r="B1308" s="203"/>
      <c r="C1308" s="203" t="s">
        <v>519</v>
      </c>
      <c r="D1308" s="200">
        <f>E1308+I1308</f>
        <v>98.749777</v>
      </c>
      <c r="E1308" s="204">
        <f>SUM(F1308:H1308)</f>
        <v>93.219777</v>
      </c>
      <c r="F1308" s="205">
        <v>76.436257</v>
      </c>
      <c r="G1308" s="205">
        <v>11.408</v>
      </c>
      <c r="H1308" s="205">
        <v>5.37552</v>
      </c>
      <c r="I1308" s="204">
        <f>SUM(J1308:L1308)</f>
        <v>5.53</v>
      </c>
      <c r="J1308" s="212">
        <v>5.53</v>
      </c>
      <c r="K1308" s="205"/>
      <c r="L1308" s="205"/>
      <c r="M1308" s="213" t="s">
        <v>1342</v>
      </c>
      <c r="N1308" s="176">
        <f t="shared" si="617"/>
        <v>98.749777</v>
      </c>
    </row>
    <row r="1309" ht="26.25" customHeight="1" spans="1:14">
      <c r="A1309" s="217">
        <v>21508</v>
      </c>
      <c r="B1309" s="199" t="s">
        <v>1343</v>
      </c>
      <c r="C1309" s="203"/>
      <c r="D1309" s="200">
        <f>D1310</f>
        <v>500</v>
      </c>
      <c r="E1309" s="200">
        <f t="shared" ref="E1309:L1309" si="636">E1310</f>
        <v>0</v>
      </c>
      <c r="F1309" s="200">
        <f t="shared" si="636"/>
        <v>0</v>
      </c>
      <c r="G1309" s="200">
        <f t="shared" si="636"/>
        <v>0</v>
      </c>
      <c r="H1309" s="200">
        <f t="shared" si="636"/>
        <v>0</v>
      </c>
      <c r="I1309" s="200">
        <f t="shared" si="636"/>
        <v>500</v>
      </c>
      <c r="J1309" s="200">
        <f t="shared" si="636"/>
        <v>0</v>
      </c>
      <c r="K1309" s="200">
        <f t="shared" si="636"/>
        <v>500</v>
      </c>
      <c r="L1309" s="200">
        <f t="shared" si="636"/>
        <v>0</v>
      </c>
      <c r="M1309" s="213"/>
      <c r="N1309" s="176">
        <f t="shared" si="617"/>
        <v>0</v>
      </c>
    </row>
    <row r="1310" ht="26.25" customHeight="1" spans="1:14">
      <c r="A1310" s="198">
        <v>2150899</v>
      </c>
      <c r="B1310" s="199" t="s">
        <v>1344</v>
      </c>
      <c r="C1310" s="203"/>
      <c r="D1310" s="200">
        <f>D1311</f>
        <v>500</v>
      </c>
      <c r="E1310" s="200">
        <f t="shared" ref="E1310:K1310" si="637">E1311</f>
        <v>0</v>
      </c>
      <c r="F1310" s="200">
        <f t="shared" si="637"/>
        <v>0</v>
      </c>
      <c r="G1310" s="200">
        <f t="shared" si="637"/>
        <v>0</v>
      </c>
      <c r="H1310" s="200">
        <f t="shared" si="637"/>
        <v>0</v>
      </c>
      <c r="I1310" s="200">
        <f t="shared" si="637"/>
        <v>500</v>
      </c>
      <c r="J1310" s="200">
        <f t="shared" si="637"/>
        <v>0</v>
      </c>
      <c r="K1310" s="200">
        <f t="shared" si="637"/>
        <v>500</v>
      </c>
      <c r="L1310" s="205"/>
      <c r="M1310" s="213"/>
      <c r="N1310" s="176">
        <f t="shared" si="617"/>
        <v>0</v>
      </c>
    </row>
    <row r="1311" ht="26.25" customHeight="1" spans="1:14">
      <c r="A1311" s="202"/>
      <c r="B1311" s="203"/>
      <c r="C1311" s="203" t="s">
        <v>1345</v>
      </c>
      <c r="D1311" s="200">
        <f>E1311+I1311</f>
        <v>500</v>
      </c>
      <c r="E1311" s="204"/>
      <c r="F1311" s="205"/>
      <c r="G1311" s="205"/>
      <c r="H1311" s="205"/>
      <c r="I1311" s="204">
        <f>K1311</f>
        <v>500</v>
      </c>
      <c r="J1311" s="212"/>
      <c r="K1311" s="205">
        <v>500</v>
      </c>
      <c r="L1311" s="205"/>
      <c r="M1311" s="213"/>
      <c r="N1311" s="176">
        <f t="shared" si="617"/>
        <v>0</v>
      </c>
    </row>
    <row r="1312" ht="26.25" customHeight="1" spans="1:14">
      <c r="A1312" s="198" t="s">
        <v>1346</v>
      </c>
      <c r="B1312" s="199" t="s">
        <v>1344</v>
      </c>
      <c r="C1312" s="199"/>
      <c r="D1312" s="200">
        <f t="shared" ref="D1312:L1312" si="638">D1313</f>
        <v>218.5116</v>
      </c>
      <c r="E1312" s="200">
        <f t="shared" si="638"/>
        <v>98.5116</v>
      </c>
      <c r="F1312" s="200">
        <f t="shared" si="638"/>
        <v>98.5116</v>
      </c>
      <c r="G1312" s="200">
        <f t="shared" si="638"/>
        <v>0</v>
      </c>
      <c r="H1312" s="200">
        <f t="shared" si="638"/>
        <v>0</v>
      </c>
      <c r="I1312" s="200">
        <f t="shared" si="638"/>
        <v>120</v>
      </c>
      <c r="J1312" s="200">
        <f t="shared" si="638"/>
        <v>0</v>
      </c>
      <c r="K1312" s="200">
        <f t="shared" si="638"/>
        <v>120</v>
      </c>
      <c r="L1312" s="200">
        <f t="shared" si="638"/>
        <v>0</v>
      </c>
      <c r="M1312" s="211"/>
      <c r="N1312" s="176">
        <f t="shared" si="617"/>
        <v>98.5116</v>
      </c>
    </row>
    <row r="1313" ht="26.25" customHeight="1" spans="1:14">
      <c r="A1313" s="198" t="s">
        <v>1347</v>
      </c>
      <c r="B1313" s="199" t="s">
        <v>1344</v>
      </c>
      <c r="C1313" s="199"/>
      <c r="D1313" s="200">
        <f t="shared" ref="D1313:L1313" si="639">D1314</f>
        <v>218.5116</v>
      </c>
      <c r="E1313" s="200">
        <f t="shared" si="639"/>
        <v>98.5116</v>
      </c>
      <c r="F1313" s="200">
        <f t="shared" si="639"/>
        <v>98.5116</v>
      </c>
      <c r="G1313" s="200">
        <f t="shared" si="639"/>
        <v>0</v>
      </c>
      <c r="H1313" s="200">
        <f t="shared" si="639"/>
        <v>0</v>
      </c>
      <c r="I1313" s="200">
        <f t="shared" si="639"/>
        <v>120</v>
      </c>
      <c r="J1313" s="200">
        <f t="shared" si="639"/>
        <v>0</v>
      </c>
      <c r="K1313" s="200">
        <f t="shared" si="639"/>
        <v>120</v>
      </c>
      <c r="L1313" s="200">
        <f t="shared" si="639"/>
        <v>0</v>
      </c>
      <c r="M1313" s="211"/>
      <c r="N1313" s="176">
        <f t="shared" si="617"/>
        <v>98.5116</v>
      </c>
    </row>
    <row r="1314" ht="26.25" customHeight="1" spans="1:14">
      <c r="A1314" s="202"/>
      <c r="B1314" s="203"/>
      <c r="C1314" s="203" t="s">
        <v>561</v>
      </c>
      <c r="D1314" s="200">
        <f>E1314+I1314</f>
        <v>218.5116</v>
      </c>
      <c r="E1314" s="204">
        <f>SUM(F1314:H1314)</f>
        <v>98.5116</v>
      </c>
      <c r="F1314" s="205">
        <v>98.5116</v>
      </c>
      <c r="G1314" s="205"/>
      <c r="H1314" s="205"/>
      <c r="I1314" s="204">
        <f>SUM(J1314:L1314)</f>
        <v>120</v>
      </c>
      <c r="J1314" s="212"/>
      <c r="K1314" s="205">
        <v>120</v>
      </c>
      <c r="L1314" s="205"/>
      <c r="M1314" s="213"/>
      <c r="N1314" s="176">
        <f t="shared" si="617"/>
        <v>98.5116</v>
      </c>
    </row>
    <row r="1315" ht="26.25" customHeight="1" spans="1:14">
      <c r="A1315" s="198" t="s">
        <v>1348</v>
      </c>
      <c r="B1315" s="199" t="s">
        <v>1349</v>
      </c>
      <c r="C1315" s="199"/>
      <c r="D1315" s="200">
        <f t="shared" ref="D1315:L1315" si="640">D1316+D1319+D1322</f>
        <v>507.049859</v>
      </c>
      <c r="E1315" s="200">
        <f t="shared" si="640"/>
        <v>105.879859</v>
      </c>
      <c r="F1315" s="200">
        <f t="shared" si="640"/>
        <v>74.752639</v>
      </c>
      <c r="G1315" s="200">
        <f t="shared" si="640"/>
        <v>10.808</v>
      </c>
      <c r="H1315" s="200">
        <f t="shared" si="640"/>
        <v>20.31922</v>
      </c>
      <c r="I1315" s="200">
        <f t="shared" si="640"/>
        <v>401.17</v>
      </c>
      <c r="J1315" s="200">
        <f t="shared" si="640"/>
        <v>16.17</v>
      </c>
      <c r="K1315" s="200">
        <f t="shared" si="640"/>
        <v>385</v>
      </c>
      <c r="L1315" s="200">
        <f t="shared" si="640"/>
        <v>0</v>
      </c>
      <c r="M1315" s="211"/>
      <c r="N1315" s="176">
        <f t="shared" si="617"/>
        <v>122.049859</v>
      </c>
    </row>
    <row r="1316" ht="26.25" customHeight="1" spans="1:14">
      <c r="A1316" s="198" t="s">
        <v>1350</v>
      </c>
      <c r="B1316" s="199" t="s">
        <v>1351</v>
      </c>
      <c r="C1316" s="199"/>
      <c r="D1316" s="200">
        <f t="shared" ref="D1316:L1316" si="641">D1317</f>
        <v>113.880075</v>
      </c>
      <c r="E1316" s="200">
        <f t="shared" si="641"/>
        <v>105.710075</v>
      </c>
      <c r="F1316" s="200">
        <f t="shared" si="641"/>
        <v>74.582855</v>
      </c>
      <c r="G1316" s="200">
        <f t="shared" si="641"/>
        <v>10.808</v>
      </c>
      <c r="H1316" s="200">
        <f t="shared" si="641"/>
        <v>20.31922</v>
      </c>
      <c r="I1316" s="200">
        <f t="shared" si="641"/>
        <v>8.17</v>
      </c>
      <c r="J1316" s="200">
        <f t="shared" si="641"/>
        <v>8.17</v>
      </c>
      <c r="K1316" s="200">
        <f t="shared" si="641"/>
        <v>0</v>
      </c>
      <c r="L1316" s="200">
        <f t="shared" si="641"/>
        <v>0</v>
      </c>
      <c r="M1316" s="211"/>
      <c r="N1316" s="176">
        <f t="shared" si="617"/>
        <v>113.880075</v>
      </c>
    </row>
    <row r="1317" ht="26.25" customHeight="1" spans="1:14">
      <c r="A1317" s="198" t="s">
        <v>1352</v>
      </c>
      <c r="B1317" s="199" t="s">
        <v>295</v>
      </c>
      <c r="C1317" s="199"/>
      <c r="D1317" s="200">
        <f t="shared" ref="D1317:L1317" si="642">D1318</f>
        <v>113.880075</v>
      </c>
      <c r="E1317" s="200">
        <f t="shared" si="642"/>
        <v>105.710075</v>
      </c>
      <c r="F1317" s="200">
        <f t="shared" si="642"/>
        <v>74.582855</v>
      </c>
      <c r="G1317" s="200">
        <f t="shared" si="642"/>
        <v>10.808</v>
      </c>
      <c r="H1317" s="200">
        <f t="shared" si="642"/>
        <v>20.31922</v>
      </c>
      <c r="I1317" s="200">
        <f t="shared" si="642"/>
        <v>8.17</v>
      </c>
      <c r="J1317" s="200">
        <f t="shared" si="642"/>
        <v>8.17</v>
      </c>
      <c r="K1317" s="200">
        <f t="shared" si="642"/>
        <v>0</v>
      </c>
      <c r="L1317" s="200">
        <f t="shared" si="642"/>
        <v>0</v>
      </c>
      <c r="M1317" s="211"/>
      <c r="N1317" s="176">
        <f t="shared" si="617"/>
        <v>113.880075</v>
      </c>
    </row>
    <row r="1318" ht="42" customHeight="1" spans="1:14">
      <c r="A1318" s="202"/>
      <c r="B1318" s="203"/>
      <c r="C1318" s="203" t="s">
        <v>562</v>
      </c>
      <c r="D1318" s="200">
        <f t="shared" ref="D1318:D1323" si="643">E1318+I1318</f>
        <v>113.880075</v>
      </c>
      <c r="E1318" s="204">
        <f t="shared" ref="E1318:E1323" si="644">SUM(F1318:H1318)</f>
        <v>105.710075</v>
      </c>
      <c r="F1318" s="205">
        <v>74.582855</v>
      </c>
      <c r="G1318" s="205">
        <v>10.808</v>
      </c>
      <c r="H1318" s="205">
        <v>20.31922</v>
      </c>
      <c r="I1318" s="204">
        <f t="shared" ref="I1318:I1323" si="645">SUM(J1318:L1318)</f>
        <v>8.17</v>
      </c>
      <c r="J1318" s="212">
        <v>8.17</v>
      </c>
      <c r="K1318" s="205"/>
      <c r="L1318" s="205"/>
      <c r="M1318" s="213" t="s">
        <v>1353</v>
      </c>
      <c r="N1318" s="176">
        <f t="shared" si="617"/>
        <v>113.880075</v>
      </c>
    </row>
    <row r="1319" ht="26.25" customHeight="1" spans="1:14">
      <c r="A1319" s="198" t="s">
        <v>1354</v>
      </c>
      <c r="B1319" s="199" t="s">
        <v>1355</v>
      </c>
      <c r="C1319" s="199"/>
      <c r="D1319" s="200">
        <f t="shared" ref="D1319:L1319" si="646">D1320</f>
        <v>393</v>
      </c>
      <c r="E1319" s="200">
        <f t="shared" si="646"/>
        <v>0</v>
      </c>
      <c r="F1319" s="200">
        <f t="shared" si="646"/>
        <v>0</v>
      </c>
      <c r="G1319" s="200">
        <f t="shared" si="646"/>
        <v>0</v>
      </c>
      <c r="H1319" s="200">
        <f t="shared" si="646"/>
        <v>0</v>
      </c>
      <c r="I1319" s="200">
        <f t="shared" si="646"/>
        <v>393</v>
      </c>
      <c r="J1319" s="200">
        <f t="shared" si="646"/>
        <v>8</v>
      </c>
      <c r="K1319" s="200">
        <f t="shared" si="646"/>
        <v>385</v>
      </c>
      <c r="L1319" s="200">
        <f t="shared" si="646"/>
        <v>0</v>
      </c>
      <c r="M1319" s="211"/>
      <c r="N1319" s="176">
        <f t="shared" si="617"/>
        <v>8</v>
      </c>
    </row>
    <row r="1320" ht="26.25" customHeight="1" spans="1:14">
      <c r="A1320" s="202"/>
      <c r="B1320" s="203"/>
      <c r="C1320" s="203" t="s">
        <v>562</v>
      </c>
      <c r="D1320" s="200">
        <f t="shared" si="643"/>
        <v>393</v>
      </c>
      <c r="E1320" s="204">
        <f t="shared" si="644"/>
        <v>0</v>
      </c>
      <c r="F1320" s="205"/>
      <c r="G1320" s="205"/>
      <c r="H1320" s="205"/>
      <c r="I1320" s="204">
        <f t="shared" si="645"/>
        <v>393</v>
      </c>
      <c r="J1320" s="212">
        <v>8</v>
      </c>
      <c r="K1320" s="205">
        <v>385</v>
      </c>
      <c r="L1320" s="205"/>
      <c r="M1320" s="213" t="s">
        <v>1356</v>
      </c>
      <c r="N1320" s="176">
        <f t="shared" si="617"/>
        <v>8</v>
      </c>
    </row>
    <row r="1321" ht="26.25" customHeight="1" spans="1:14">
      <c r="A1321" s="198" t="s">
        <v>1357</v>
      </c>
      <c r="B1321" s="199" t="s">
        <v>1358</v>
      </c>
      <c r="C1321" s="199"/>
      <c r="D1321" s="200">
        <f t="shared" ref="D1321:L1321" si="647">D1322</f>
        <v>0.169784</v>
      </c>
      <c r="E1321" s="200">
        <f t="shared" si="647"/>
        <v>0.169784</v>
      </c>
      <c r="F1321" s="200">
        <f t="shared" si="647"/>
        <v>0.169784</v>
      </c>
      <c r="G1321" s="200">
        <f t="shared" si="647"/>
        <v>0</v>
      </c>
      <c r="H1321" s="200">
        <f t="shared" si="647"/>
        <v>0</v>
      </c>
      <c r="I1321" s="200">
        <f t="shared" si="647"/>
        <v>0</v>
      </c>
      <c r="J1321" s="200">
        <f t="shared" si="647"/>
        <v>0</v>
      </c>
      <c r="K1321" s="200">
        <f t="shared" si="647"/>
        <v>0</v>
      </c>
      <c r="L1321" s="200">
        <f t="shared" si="647"/>
        <v>0</v>
      </c>
      <c r="M1321" s="211"/>
      <c r="N1321" s="176">
        <f t="shared" si="617"/>
        <v>0.169784</v>
      </c>
    </row>
    <row r="1322" ht="26.25" customHeight="1" spans="1:14">
      <c r="A1322" s="198" t="s">
        <v>1359</v>
      </c>
      <c r="B1322" s="199" t="s">
        <v>1358</v>
      </c>
      <c r="C1322" s="199"/>
      <c r="D1322" s="200">
        <f t="shared" si="643"/>
        <v>0.169784</v>
      </c>
      <c r="E1322" s="204">
        <f t="shared" si="644"/>
        <v>0.169784</v>
      </c>
      <c r="F1322" s="204">
        <v>0.169784</v>
      </c>
      <c r="G1322" s="204"/>
      <c r="H1322" s="204"/>
      <c r="I1322" s="204">
        <f t="shared" si="645"/>
        <v>0</v>
      </c>
      <c r="J1322" s="216"/>
      <c r="K1322" s="204"/>
      <c r="L1322" s="204"/>
      <c r="M1322" s="211"/>
      <c r="N1322" s="176">
        <f t="shared" si="617"/>
        <v>0.169784</v>
      </c>
    </row>
    <row r="1323" ht="26.25" customHeight="1" spans="1:14">
      <c r="A1323" s="202"/>
      <c r="B1323" s="203"/>
      <c r="C1323" s="203" t="s">
        <v>562</v>
      </c>
      <c r="D1323" s="200">
        <f t="shared" si="643"/>
        <v>0.169784</v>
      </c>
      <c r="E1323" s="204">
        <f t="shared" si="644"/>
        <v>0.169784</v>
      </c>
      <c r="F1323" s="205">
        <v>0.169784</v>
      </c>
      <c r="G1323" s="205"/>
      <c r="H1323" s="205"/>
      <c r="I1323" s="204">
        <f t="shared" si="645"/>
        <v>0</v>
      </c>
      <c r="J1323" s="212"/>
      <c r="K1323" s="205"/>
      <c r="L1323" s="205"/>
      <c r="M1323" s="213"/>
      <c r="N1323" s="176">
        <f t="shared" si="617"/>
        <v>0.169784</v>
      </c>
    </row>
    <row r="1324" ht="26.25" customHeight="1" spans="1:14">
      <c r="A1324" s="217">
        <v>217</v>
      </c>
      <c r="B1324" s="199" t="s">
        <v>1360</v>
      </c>
      <c r="C1324" s="203"/>
      <c r="D1324" s="200">
        <f t="shared" ref="D1324:L1324" si="648">D1325</f>
        <v>50</v>
      </c>
      <c r="E1324" s="200">
        <f t="shared" si="648"/>
        <v>0</v>
      </c>
      <c r="F1324" s="200">
        <f t="shared" si="648"/>
        <v>0</v>
      </c>
      <c r="G1324" s="200">
        <f t="shared" si="648"/>
        <v>0</v>
      </c>
      <c r="H1324" s="200">
        <f t="shared" si="648"/>
        <v>0</v>
      </c>
      <c r="I1324" s="200">
        <f t="shared" si="648"/>
        <v>50</v>
      </c>
      <c r="J1324" s="200">
        <f t="shared" si="648"/>
        <v>50</v>
      </c>
      <c r="K1324" s="200">
        <f t="shared" si="648"/>
        <v>0</v>
      </c>
      <c r="L1324" s="200">
        <f t="shared" si="648"/>
        <v>0</v>
      </c>
      <c r="M1324" s="213"/>
      <c r="N1324" s="176">
        <f t="shared" si="617"/>
        <v>50</v>
      </c>
    </row>
    <row r="1325" ht="26.25" customHeight="1" spans="1:14">
      <c r="A1325" s="217">
        <v>21799</v>
      </c>
      <c r="B1325" s="199" t="s">
        <v>1361</v>
      </c>
      <c r="C1325" s="203"/>
      <c r="D1325" s="200">
        <f t="shared" ref="D1325:L1325" si="649">D1326</f>
        <v>50</v>
      </c>
      <c r="E1325" s="200">
        <f t="shared" si="649"/>
        <v>0</v>
      </c>
      <c r="F1325" s="200">
        <f t="shared" si="649"/>
        <v>0</v>
      </c>
      <c r="G1325" s="200">
        <f t="shared" si="649"/>
        <v>0</v>
      </c>
      <c r="H1325" s="200">
        <f t="shared" si="649"/>
        <v>0</v>
      </c>
      <c r="I1325" s="200">
        <f t="shared" si="649"/>
        <v>50</v>
      </c>
      <c r="J1325" s="200">
        <f t="shared" si="649"/>
        <v>50</v>
      </c>
      <c r="K1325" s="200">
        <f t="shared" si="649"/>
        <v>0</v>
      </c>
      <c r="L1325" s="200">
        <f t="shared" si="649"/>
        <v>0</v>
      </c>
      <c r="M1325" s="213"/>
      <c r="N1325" s="176">
        <f t="shared" si="617"/>
        <v>50</v>
      </c>
    </row>
    <row r="1326" ht="26.25" customHeight="1" spans="1:14">
      <c r="A1326" s="217">
        <v>2179999</v>
      </c>
      <c r="B1326" s="199" t="s">
        <v>1361</v>
      </c>
      <c r="C1326" s="203"/>
      <c r="D1326" s="200">
        <f>SUM(E1326,I1326)</f>
        <v>50</v>
      </c>
      <c r="E1326" s="204">
        <f>SUM(F1326:H1326)</f>
        <v>0</v>
      </c>
      <c r="F1326" s="205"/>
      <c r="G1326" s="205"/>
      <c r="H1326" s="205"/>
      <c r="I1326" s="204">
        <f>SUM(J1326:L1326)</f>
        <v>50</v>
      </c>
      <c r="J1326" s="212">
        <v>50</v>
      </c>
      <c r="K1326" s="205"/>
      <c r="L1326" s="205"/>
      <c r="M1326" s="213"/>
      <c r="N1326" s="176">
        <f t="shared" si="617"/>
        <v>50</v>
      </c>
    </row>
    <row r="1327" ht="26.25" customHeight="1" spans="1:255">
      <c r="A1327" s="198" t="s">
        <v>1362</v>
      </c>
      <c r="B1327" s="199" t="s">
        <v>1363</v>
      </c>
      <c r="C1327" s="199"/>
      <c r="D1327" s="200">
        <f>D1328+D1345</f>
        <v>1895.646389</v>
      </c>
      <c r="E1327" s="200">
        <f t="shared" ref="E1327:K1327" si="650">E1328+E1345</f>
        <v>831.066389</v>
      </c>
      <c r="F1327" s="200">
        <f t="shared" si="650"/>
        <v>762.832649</v>
      </c>
      <c r="G1327" s="200">
        <f t="shared" si="650"/>
        <v>44.04</v>
      </c>
      <c r="H1327" s="200">
        <f t="shared" si="650"/>
        <v>24.19374</v>
      </c>
      <c r="I1327" s="200">
        <f t="shared" si="650"/>
        <v>1064.58</v>
      </c>
      <c r="J1327" s="200">
        <f t="shared" si="650"/>
        <v>181.65</v>
      </c>
      <c r="K1327" s="200">
        <f t="shared" si="650"/>
        <v>882.93</v>
      </c>
      <c r="L1327" s="200">
        <f>L1328</f>
        <v>0</v>
      </c>
      <c r="M1327" s="211"/>
      <c r="N1327" s="176">
        <f t="shared" si="617"/>
        <v>1012.716389</v>
      </c>
      <c r="Q1327" s="176">
        <f>J1327+E1327</f>
        <v>1012.716389</v>
      </c>
      <c r="IU1327" s="176">
        <f>SUM(A1327:IT1327)</f>
        <v>7712.371945</v>
      </c>
    </row>
    <row r="1328" ht="26.25" customHeight="1" spans="1:14">
      <c r="A1328" s="198" t="s">
        <v>1364</v>
      </c>
      <c r="B1328" s="199" t="s">
        <v>1365</v>
      </c>
      <c r="C1328" s="199"/>
      <c r="D1328" s="200">
        <f>D1329+D1333+D1335+D1337+D1339+D1342+D1331</f>
        <v>1863.376389</v>
      </c>
      <c r="E1328" s="200">
        <f t="shared" ref="E1328:K1328" si="651">E1329+E1333+E1335+E1337+E1339+E1342+E1331</f>
        <v>831.066389</v>
      </c>
      <c r="F1328" s="200">
        <f t="shared" si="651"/>
        <v>762.832649</v>
      </c>
      <c r="G1328" s="200">
        <f t="shared" si="651"/>
        <v>44.04</v>
      </c>
      <c r="H1328" s="200">
        <f t="shared" si="651"/>
        <v>24.19374</v>
      </c>
      <c r="I1328" s="200">
        <f t="shared" si="651"/>
        <v>1032.31</v>
      </c>
      <c r="J1328" s="200">
        <f t="shared" si="651"/>
        <v>149.38</v>
      </c>
      <c r="K1328" s="200">
        <f t="shared" si="651"/>
        <v>882.93</v>
      </c>
      <c r="L1328" s="200">
        <f>L1329+L1333+L1335+L1337+L1339+L1342</f>
        <v>0</v>
      </c>
      <c r="M1328" s="211"/>
      <c r="N1328" s="176">
        <f t="shared" si="617"/>
        <v>980.446389</v>
      </c>
    </row>
    <row r="1329" ht="26.25" customHeight="1" spans="1:14">
      <c r="A1329" s="198" t="s">
        <v>1366</v>
      </c>
      <c r="B1329" s="199" t="s">
        <v>295</v>
      </c>
      <c r="C1329" s="199"/>
      <c r="D1329" s="200">
        <f t="shared" ref="D1329:L1329" si="652">D1330</f>
        <v>423.55707</v>
      </c>
      <c r="E1329" s="200">
        <f t="shared" si="652"/>
        <v>423.55707</v>
      </c>
      <c r="F1329" s="200">
        <f t="shared" si="652"/>
        <v>369.40425</v>
      </c>
      <c r="G1329" s="200">
        <f t="shared" si="652"/>
        <v>34.2</v>
      </c>
      <c r="H1329" s="200">
        <f t="shared" si="652"/>
        <v>19.95282</v>
      </c>
      <c r="I1329" s="200">
        <f t="shared" si="652"/>
        <v>0</v>
      </c>
      <c r="J1329" s="200">
        <f t="shared" si="652"/>
        <v>0</v>
      </c>
      <c r="K1329" s="200">
        <f t="shared" si="652"/>
        <v>0</v>
      </c>
      <c r="L1329" s="200">
        <f t="shared" si="652"/>
        <v>0</v>
      </c>
      <c r="M1329" s="211"/>
      <c r="N1329" s="176">
        <f t="shared" si="617"/>
        <v>423.55707</v>
      </c>
    </row>
    <row r="1330" ht="26.25" customHeight="1" spans="1:14">
      <c r="A1330" s="202"/>
      <c r="B1330" s="203"/>
      <c r="C1330" s="203" t="s">
        <v>539</v>
      </c>
      <c r="D1330" s="200">
        <f>E1330+I1330</f>
        <v>423.55707</v>
      </c>
      <c r="E1330" s="204">
        <f>SUM(F1330:H1330)</f>
        <v>423.55707</v>
      </c>
      <c r="F1330" s="205">
        <v>369.40425</v>
      </c>
      <c r="G1330" s="205">
        <v>34.2</v>
      </c>
      <c r="H1330" s="205">
        <v>19.95282</v>
      </c>
      <c r="I1330" s="204">
        <f>SUM(J1330:L1330)</f>
        <v>0</v>
      </c>
      <c r="J1330" s="212"/>
      <c r="K1330" s="205"/>
      <c r="L1330" s="205"/>
      <c r="M1330" s="213"/>
      <c r="N1330" s="176">
        <f t="shared" si="617"/>
        <v>423.55707</v>
      </c>
    </row>
    <row r="1331" ht="26.25" customHeight="1" spans="1:14">
      <c r="A1331" s="217">
        <v>2200104</v>
      </c>
      <c r="B1331" s="199" t="s">
        <v>1367</v>
      </c>
      <c r="C1331" s="203"/>
      <c r="D1331" s="200">
        <f>D1332</f>
        <v>45</v>
      </c>
      <c r="E1331" s="200">
        <f t="shared" ref="E1331:K1331" si="653">E1332</f>
        <v>0</v>
      </c>
      <c r="F1331" s="200">
        <f t="shared" si="653"/>
        <v>0</v>
      </c>
      <c r="G1331" s="200">
        <f t="shared" si="653"/>
        <v>0</v>
      </c>
      <c r="H1331" s="200">
        <f t="shared" si="653"/>
        <v>0</v>
      </c>
      <c r="I1331" s="200">
        <f t="shared" si="653"/>
        <v>45</v>
      </c>
      <c r="J1331" s="200">
        <f t="shared" si="653"/>
        <v>0</v>
      </c>
      <c r="K1331" s="200">
        <f t="shared" si="653"/>
        <v>45</v>
      </c>
      <c r="L1331" s="205"/>
      <c r="M1331" s="213"/>
      <c r="N1331" s="176">
        <f t="shared" si="617"/>
        <v>0</v>
      </c>
    </row>
    <row r="1332" ht="26.25" customHeight="1" spans="1:14">
      <c r="A1332" s="202"/>
      <c r="B1332" s="203"/>
      <c r="C1332" s="203" t="s">
        <v>539</v>
      </c>
      <c r="D1332" s="200">
        <f>E1332+I1332</f>
        <v>45</v>
      </c>
      <c r="E1332" s="204"/>
      <c r="F1332" s="205"/>
      <c r="G1332" s="205"/>
      <c r="H1332" s="205"/>
      <c r="I1332" s="204">
        <f>K1332</f>
        <v>45</v>
      </c>
      <c r="J1332" s="212"/>
      <c r="K1332" s="205">
        <v>45</v>
      </c>
      <c r="L1332" s="205"/>
      <c r="M1332" s="213"/>
      <c r="N1332" s="176">
        <f t="shared" si="617"/>
        <v>0</v>
      </c>
    </row>
    <row r="1333" ht="26.25" customHeight="1" spans="1:14">
      <c r="A1333" s="198" t="s">
        <v>1368</v>
      </c>
      <c r="B1333" s="199" t="s">
        <v>1369</v>
      </c>
      <c r="C1333" s="199"/>
      <c r="D1333" s="200">
        <f t="shared" ref="D1333:L1333" si="654">D1334</f>
        <v>512.8</v>
      </c>
      <c r="E1333" s="200">
        <f t="shared" si="654"/>
        <v>0</v>
      </c>
      <c r="F1333" s="200">
        <f t="shared" si="654"/>
        <v>0</v>
      </c>
      <c r="G1333" s="200">
        <f t="shared" si="654"/>
        <v>0</v>
      </c>
      <c r="H1333" s="200">
        <f t="shared" si="654"/>
        <v>0</v>
      </c>
      <c r="I1333" s="200">
        <f t="shared" si="654"/>
        <v>512.8</v>
      </c>
      <c r="J1333" s="200">
        <f t="shared" si="654"/>
        <v>12.8</v>
      </c>
      <c r="K1333" s="200">
        <f t="shared" si="654"/>
        <v>500</v>
      </c>
      <c r="L1333" s="200">
        <f t="shared" si="654"/>
        <v>0</v>
      </c>
      <c r="M1333" s="211"/>
      <c r="N1333" s="176">
        <f t="shared" si="617"/>
        <v>12.8</v>
      </c>
    </row>
    <row r="1334" ht="26.25" customHeight="1" spans="1:14">
      <c r="A1334" s="202"/>
      <c r="B1334" s="203"/>
      <c r="C1334" s="203" t="s">
        <v>539</v>
      </c>
      <c r="D1334" s="200">
        <f>E1334+I1334</f>
        <v>512.8</v>
      </c>
      <c r="E1334" s="204">
        <f>SUM(F1334:H1334)</f>
        <v>0</v>
      </c>
      <c r="F1334" s="205"/>
      <c r="G1334" s="205"/>
      <c r="H1334" s="205"/>
      <c r="I1334" s="204">
        <f>SUM(J1334:L1334)</f>
        <v>512.8</v>
      </c>
      <c r="J1334" s="212">
        <v>12.8</v>
      </c>
      <c r="K1334" s="205">
        <v>500</v>
      </c>
      <c r="L1334" s="205"/>
      <c r="M1334" s="213" t="s">
        <v>1370</v>
      </c>
      <c r="N1334" s="176">
        <f t="shared" si="617"/>
        <v>12.8</v>
      </c>
    </row>
    <row r="1335" ht="26.25" customHeight="1" spans="1:14">
      <c r="A1335" s="198" t="s">
        <v>1371</v>
      </c>
      <c r="B1335" s="199" t="s">
        <v>1372</v>
      </c>
      <c r="C1335" s="199"/>
      <c r="D1335" s="200">
        <f t="shared" ref="D1335:L1335" si="655">D1336</f>
        <v>13.6</v>
      </c>
      <c r="E1335" s="200">
        <f t="shared" si="655"/>
        <v>0</v>
      </c>
      <c r="F1335" s="200">
        <f t="shared" si="655"/>
        <v>0</v>
      </c>
      <c r="G1335" s="200">
        <f t="shared" si="655"/>
        <v>0</v>
      </c>
      <c r="H1335" s="200">
        <f t="shared" si="655"/>
        <v>0</v>
      </c>
      <c r="I1335" s="200">
        <f t="shared" si="655"/>
        <v>13.6</v>
      </c>
      <c r="J1335" s="200">
        <f t="shared" si="655"/>
        <v>13.6</v>
      </c>
      <c r="K1335" s="200">
        <f t="shared" si="655"/>
        <v>0</v>
      </c>
      <c r="L1335" s="200">
        <f t="shared" si="655"/>
        <v>0</v>
      </c>
      <c r="M1335" s="211"/>
      <c r="N1335" s="176">
        <f t="shared" si="617"/>
        <v>13.6</v>
      </c>
    </row>
    <row r="1336" ht="26.25" customHeight="1" spans="1:14">
      <c r="A1336" s="202"/>
      <c r="B1336" s="203"/>
      <c r="C1336" s="203" t="s">
        <v>539</v>
      </c>
      <c r="D1336" s="200">
        <f>E1336+I1336</f>
        <v>13.6</v>
      </c>
      <c r="E1336" s="204">
        <f>SUM(F1336:H1336)</f>
        <v>0</v>
      </c>
      <c r="F1336" s="205"/>
      <c r="G1336" s="205"/>
      <c r="H1336" s="205"/>
      <c r="I1336" s="204">
        <f>SUM(J1336:L1336)</f>
        <v>13.6</v>
      </c>
      <c r="J1336" s="212">
        <v>13.6</v>
      </c>
      <c r="K1336" s="205"/>
      <c r="L1336" s="205"/>
      <c r="M1336" s="213" t="s">
        <v>1373</v>
      </c>
      <c r="N1336" s="176">
        <f t="shared" si="617"/>
        <v>13.6</v>
      </c>
    </row>
    <row r="1337" ht="26.25" customHeight="1" spans="1:14">
      <c r="A1337" s="198" t="s">
        <v>1374</v>
      </c>
      <c r="B1337" s="199" t="s">
        <v>1375</v>
      </c>
      <c r="C1337" s="199"/>
      <c r="D1337" s="200">
        <f t="shared" ref="D1337:L1337" si="656">D1338</f>
        <v>344.33</v>
      </c>
      <c r="E1337" s="200">
        <f t="shared" si="656"/>
        <v>0</v>
      </c>
      <c r="F1337" s="200">
        <f t="shared" si="656"/>
        <v>0</v>
      </c>
      <c r="G1337" s="200">
        <f t="shared" si="656"/>
        <v>0</v>
      </c>
      <c r="H1337" s="200">
        <f t="shared" si="656"/>
        <v>0</v>
      </c>
      <c r="I1337" s="200">
        <f t="shared" si="656"/>
        <v>344.33</v>
      </c>
      <c r="J1337" s="200">
        <f t="shared" si="656"/>
        <v>6.4</v>
      </c>
      <c r="K1337" s="200">
        <f t="shared" si="656"/>
        <v>337.93</v>
      </c>
      <c r="L1337" s="200">
        <f t="shared" si="656"/>
        <v>0</v>
      </c>
      <c r="M1337" s="211"/>
      <c r="N1337" s="176">
        <f t="shared" si="617"/>
        <v>6.4</v>
      </c>
    </row>
    <row r="1338" ht="26.25" customHeight="1" spans="1:14">
      <c r="A1338" s="202"/>
      <c r="B1338" s="203"/>
      <c r="C1338" s="203" t="s">
        <v>539</v>
      </c>
      <c r="D1338" s="200">
        <f t="shared" ref="D1338:D1341" si="657">E1338+I1338</f>
        <v>344.33</v>
      </c>
      <c r="E1338" s="204">
        <f t="shared" ref="E1338:E1341" si="658">SUM(F1338:H1338)</f>
        <v>0</v>
      </c>
      <c r="F1338" s="205"/>
      <c r="G1338" s="205"/>
      <c r="H1338" s="205"/>
      <c r="I1338" s="204">
        <f t="shared" ref="I1338:I1341" si="659">SUM(J1338:L1338)</f>
        <v>344.33</v>
      </c>
      <c r="J1338" s="212">
        <v>6.4</v>
      </c>
      <c r="K1338" s="205">
        <v>337.93</v>
      </c>
      <c r="L1338" s="205"/>
      <c r="M1338" s="213" t="s">
        <v>1376</v>
      </c>
      <c r="N1338" s="176">
        <f t="shared" si="617"/>
        <v>6.4</v>
      </c>
    </row>
    <row r="1339" ht="26.25" customHeight="1" spans="1:14">
      <c r="A1339" s="198" t="s">
        <v>1377</v>
      </c>
      <c r="B1339" s="199" t="s">
        <v>369</v>
      </c>
      <c r="C1339" s="199"/>
      <c r="D1339" s="200">
        <f t="shared" ref="D1339:L1339" si="660">SUM(D1340:D1341)</f>
        <v>284.49526</v>
      </c>
      <c r="E1339" s="200">
        <f t="shared" si="660"/>
        <v>260.49526</v>
      </c>
      <c r="F1339" s="200">
        <f t="shared" si="660"/>
        <v>255.41026</v>
      </c>
      <c r="G1339" s="200">
        <f t="shared" si="660"/>
        <v>5.04</v>
      </c>
      <c r="H1339" s="200">
        <f t="shared" si="660"/>
        <v>0.045</v>
      </c>
      <c r="I1339" s="200">
        <f t="shared" si="660"/>
        <v>24</v>
      </c>
      <c r="J1339" s="200">
        <f t="shared" si="660"/>
        <v>24</v>
      </c>
      <c r="K1339" s="200">
        <f t="shared" si="660"/>
        <v>0</v>
      </c>
      <c r="L1339" s="200">
        <f t="shared" si="660"/>
        <v>0</v>
      </c>
      <c r="M1339" s="211"/>
      <c r="N1339" s="176">
        <f t="shared" si="617"/>
        <v>284.49526</v>
      </c>
    </row>
    <row r="1340" ht="26.25" customHeight="1" spans="1:14">
      <c r="A1340" s="202"/>
      <c r="B1340" s="203"/>
      <c r="C1340" s="203" t="s">
        <v>539</v>
      </c>
      <c r="D1340" s="200">
        <f t="shared" si="657"/>
        <v>141.39403</v>
      </c>
      <c r="E1340" s="204">
        <f t="shared" si="658"/>
        <v>141.39403</v>
      </c>
      <c r="F1340" s="205">
        <v>141.34903</v>
      </c>
      <c r="G1340" s="205"/>
      <c r="H1340" s="205">
        <v>0.045</v>
      </c>
      <c r="I1340" s="204">
        <f t="shared" si="659"/>
        <v>0</v>
      </c>
      <c r="J1340" s="212"/>
      <c r="K1340" s="205"/>
      <c r="L1340" s="205"/>
      <c r="M1340" s="213"/>
      <c r="N1340" s="176">
        <f t="shared" si="617"/>
        <v>141.39403</v>
      </c>
    </row>
    <row r="1341" ht="26.25" customHeight="1" spans="1:14">
      <c r="A1341" s="202"/>
      <c r="B1341" s="203"/>
      <c r="C1341" s="203" t="s">
        <v>539</v>
      </c>
      <c r="D1341" s="200">
        <f t="shared" si="657"/>
        <v>143.10123</v>
      </c>
      <c r="E1341" s="204">
        <f t="shared" si="658"/>
        <v>119.10123</v>
      </c>
      <c r="F1341" s="205">
        <v>114.06123</v>
      </c>
      <c r="G1341" s="205">
        <v>5.04</v>
      </c>
      <c r="H1341" s="205"/>
      <c r="I1341" s="204">
        <f t="shared" si="659"/>
        <v>24</v>
      </c>
      <c r="J1341" s="212">
        <v>24</v>
      </c>
      <c r="K1341" s="205"/>
      <c r="L1341" s="205"/>
      <c r="M1341" s="213" t="s">
        <v>1378</v>
      </c>
      <c r="N1341" s="176">
        <f t="shared" si="617"/>
        <v>143.10123</v>
      </c>
    </row>
    <row r="1342" ht="26.25" customHeight="1" spans="1:14">
      <c r="A1342" s="198" t="s">
        <v>1379</v>
      </c>
      <c r="B1342" s="199" t="s">
        <v>1380</v>
      </c>
      <c r="C1342" s="199"/>
      <c r="D1342" s="200">
        <f t="shared" ref="D1342:L1342" si="661">SUM(D1343:D1344)</f>
        <v>239.594059</v>
      </c>
      <c r="E1342" s="200">
        <f t="shared" si="661"/>
        <v>147.014059</v>
      </c>
      <c r="F1342" s="200">
        <f t="shared" si="661"/>
        <v>138.018139</v>
      </c>
      <c r="G1342" s="200">
        <f t="shared" si="661"/>
        <v>4.8</v>
      </c>
      <c r="H1342" s="200">
        <f t="shared" si="661"/>
        <v>4.19592</v>
      </c>
      <c r="I1342" s="200">
        <f t="shared" si="661"/>
        <v>92.58</v>
      </c>
      <c r="J1342" s="200">
        <f t="shared" si="661"/>
        <v>92.58</v>
      </c>
      <c r="K1342" s="200">
        <f t="shared" si="661"/>
        <v>0</v>
      </c>
      <c r="L1342" s="200">
        <f t="shared" si="661"/>
        <v>0</v>
      </c>
      <c r="M1342" s="211"/>
      <c r="N1342" s="176">
        <f t="shared" si="617"/>
        <v>239.594059</v>
      </c>
    </row>
    <row r="1343" ht="26.25" customHeight="1" spans="1:14">
      <c r="A1343" s="202"/>
      <c r="B1343" s="203"/>
      <c r="C1343" s="203" t="s">
        <v>539</v>
      </c>
      <c r="D1343" s="200">
        <f>E1343+I1343</f>
        <v>92.58</v>
      </c>
      <c r="E1343" s="204">
        <f>SUM(F1343:H1343)</f>
        <v>0</v>
      </c>
      <c r="F1343" s="205"/>
      <c r="G1343" s="205"/>
      <c r="H1343" s="205"/>
      <c r="I1343" s="204">
        <f>SUM(J1343:L1343)</f>
        <v>92.58</v>
      </c>
      <c r="J1343" s="212">
        <v>92.58</v>
      </c>
      <c r="K1343" s="205"/>
      <c r="L1343" s="205"/>
      <c r="M1343" s="213" t="s">
        <v>1381</v>
      </c>
      <c r="N1343" s="176">
        <f t="shared" si="617"/>
        <v>92.58</v>
      </c>
    </row>
    <row r="1344" ht="26.25" customHeight="1" spans="1:14">
      <c r="A1344" s="202"/>
      <c r="B1344" s="203"/>
      <c r="C1344" s="203" t="s">
        <v>539</v>
      </c>
      <c r="D1344" s="200">
        <f>E1344+I1344</f>
        <v>147.014059</v>
      </c>
      <c r="E1344" s="204">
        <f>SUM(F1344:H1344)</f>
        <v>147.014059</v>
      </c>
      <c r="F1344" s="205">
        <v>138.018139</v>
      </c>
      <c r="G1344" s="205">
        <v>4.8</v>
      </c>
      <c r="H1344" s="205">
        <v>4.19592</v>
      </c>
      <c r="I1344" s="204">
        <f>SUM(J1344:L1344)</f>
        <v>0</v>
      </c>
      <c r="J1344" s="212"/>
      <c r="K1344" s="205"/>
      <c r="L1344" s="205"/>
      <c r="M1344" s="213"/>
      <c r="N1344" s="176">
        <f t="shared" si="617"/>
        <v>147.014059</v>
      </c>
    </row>
    <row r="1345" s="176" customFormat="1" ht="26.25" customHeight="1" spans="1:13">
      <c r="A1345" s="217">
        <v>22005</v>
      </c>
      <c r="B1345" s="227" t="s">
        <v>1382</v>
      </c>
      <c r="C1345" s="203"/>
      <c r="D1345" s="200">
        <f>D1346</f>
        <v>32.27</v>
      </c>
      <c r="E1345" s="200">
        <f t="shared" ref="E1345:L1345" si="662">E1346</f>
        <v>0</v>
      </c>
      <c r="F1345" s="200">
        <f t="shared" si="662"/>
        <v>0</v>
      </c>
      <c r="G1345" s="200">
        <f t="shared" si="662"/>
        <v>0</v>
      </c>
      <c r="H1345" s="200">
        <f t="shared" si="662"/>
        <v>0</v>
      </c>
      <c r="I1345" s="200">
        <f t="shared" si="662"/>
        <v>32.27</v>
      </c>
      <c r="J1345" s="200">
        <f t="shared" si="662"/>
        <v>32.27</v>
      </c>
      <c r="K1345" s="200">
        <f t="shared" si="662"/>
        <v>0</v>
      </c>
      <c r="L1345" s="200">
        <f t="shared" si="662"/>
        <v>0</v>
      </c>
      <c r="M1345" s="213"/>
    </row>
    <row r="1346" s="176" customFormat="1" ht="26.25" customHeight="1" spans="1:13">
      <c r="A1346" s="198">
        <v>2200509</v>
      </c>
      <c r="B1346" s="199" t="s">
        <v>1383</v>
      </c>
      <c r="C1346" s="203"/>
      <c r="D1346" s="200">
        <f>D1347</f>
        <v>32.27</v>
      </c>
      <c r="E1346" s="204"/>
      <c r="F1346" s="205"/>
      <c r="G1346" s="205"/>
      <c r="H1346" s="205"/>
      <c r="I1346" s="204">
        <f>I1347</f>
        <v>32.27</v>
      </c>
      <c r="J1346" s="204">
        <f>J1347</f>
        <v>32.27</v>
      </c>
      <c r="K1346" s="204">
        <f>K1347</f>
        <v>0</v>
      </c>
      <c r="L1346" s="204">
        <f>L1347</f>
        <v>0</v>
      </c>
      <c r="M1346" s="213"/>
    </row>
    <row r="1347" s="176" customFormat="1" ht="26.25" customHeight="1" spans="1:13">
      <c r="A1347" s="202"/>
      <c r="B1347" s="203"/>
      <c r="C1347" s="203" t="s">
        <v>1384</v>
      </c>
      <c r="D1347" s="200">
        <f>E1347+I1347</f>
        <v>32.27</v>
      </c>
      <c r="E1347" s="204"/>
      <c r="F1347" s="205"/>
      <c r="G1347" s="205"/>
      <c r="H1347" s="205"/>
      <c r="I1347" s="204">
        <f>J1347+K1347+L1347</f>
        <v>32.27</v>
      </c>
      <c r="J1347" s="212">
        <v>32.27</v>
      </c>
      <c r="K1347" s="205"/>
      <c r="L1347" s="205"/>
      <c r="M1347" s="213" t="s">
        <v>1385</v>
      </c>
    </row>
    <row r="1348" ht="26.25" customHeight="1" spans="1:17">
      <c r="A1348" s="198" t="s">
        <v>1386</v>
      </c>
      <c r="B1348" s="199" t="s">
        <v>1387</v>
      </c>
      <c r="C1348" s="199"/>
      <c r="D1348" s="200">
        <f t="shared" ref="D1348:L1348" si="663">SUM(D1349,D1350,D1638)</f>
        <v>8613.016292</v>
      </c>
      <c r="E1348" s="200">
        <f t="shared" si="663"/>
        <v>8395.246292</v>
      </c>
      <c r="F1348" s="200">
        <f t="shared" si="663"/>
        <v>8387.609972</v>
      </c>
      <c r="G1348" s="200">
        <f t="shared" si="663"/>
        <v>1.44</v>
      </c>
      <c r="H1348" s="200">
        <f t="shared" si="663"/>
        <v>6.19632</v>
      </c>
      <c r="I1348" s="200">
        <f t="shared" si="663"/>
        <v>217.77</v>
      </c>
      <c r="J1348" s="200">
        <f t="shared" si="663"/>
        <v>3.2</v>
      </c>
      <c r="K1348" s="200">
        <f t="shared" si="663"/>
        <v>31.01</v>
      </c>
      <c r="L1348" s="200">
        <f t="shared" si="663"/>
        <v>183.56</v>
      </c>
      <c r="M1348" s="211"/>
      <c r="N1348" s="176">
        <f t="shared" ref="N1348:N1411" si="664">J1348+E1348</f>
        <v>8398.446292</v>
      </c>
      <c r="Q1348" s="176">
        <f>J1348+E1348</f>
        <v>8398.446292</v>
      </c>
    </row>
    <row r="1349" ht="26.25" customHeight="1" spans="1:14">
      <c r="A1349" s="217">
        <v>2210105</v>
      </c>
      <c r="B1349" s="199" t="s">
        <v>1388</v>
      </c>
      <c r="C1349" s="199"/>
      <c r="D1349" s="200">
        <f t="shared" ref="D1348:D1410" si="665">E1349+I1349</f>
        <v>214.57</v>
      </c>
      <c r="E1349" s="200">
        <f t="shared" ref="E1348:E1410" si="666">SUM(F1349:H1349)</f>
        <v>0</v>
      </c>
      <c r="F1349" s="200"/>
      <c r="G1349" s="200"/>
      <c r="H1349" s="200"/>
      <c r="I1349" s="205">
        <f t="shared" ref="I1348:I1410" si="667">SUM(J1349:L1349)</f>
        <v>214.57</v>
      </c>
      <c r="J1349" s="216"/>
      <c r="K1349" s="204">
        <v>31.01</v>
      </c>
      <c r="L1349" s="204">
        <v>183.56</v>
      </c>
      <c r="M1349" s="211" t="s">
        <v>1389</v>
      </c>
      <c r="N1349" s="176">
        <f t="shared" si="664"/>
        <v>0</v>
      </c>
    </row>
    <row r="1350" ht="26.25" customHeight="1" spans="1:14">
      <c r="A1350" s="198" t="s">
        <v>1390</v>
      </c>
      <c r="B1350" s="199" t="s">
        <v>1391</v>
      </c>
      <c r="C1350" s="199"/>
      <c r="D1350" s="200">
        <f t="shared" si="665"/>
        <v>8338.04264</v>
      </c>
      <c r="E1350" s="204">
        <f t="shared" si="666"/>
        <v>8338.04264</v>
      </c>
      <c r="F1350" s="204">
        <v>8333</v>
      </c>
      <c r="G1350" s="204"/>
      <c r="H1350" s="204">
        <v>5.04264</v>
      </c>
      <c r="I1350" s="204">
        <f t="shared" si="667"/>
        <v>0</v>
      </c>
      <c r="J1350" s="216"/>
      <c r="K1350" s="204"/>
      <c r="L1350" s="204"/>
      <c r="M1350" s="211"/>
      <c r="N1350" s="176">
        <f t="shared" si="664"/>
        <v>8338.04264</v>
      </c>
    </row>
    <row r="1351" ht="26.25" customHeight="1" spans="1:19">
      <c r="A1351" s="198" t="s">
        <v>1392</v>
      </c>
      <c r="B1351" s="199" t="s">
        <v>1393</v>
      </c>
      <c r="C1351" s="199"/>
      <c r="D1351" s="200">
        <f t="shared" si="665"/>
        <v>8338.04264</v>
      </c>
      <c r="E1351" s="204">
        <f t="shared" si="666"/>
        <v>8338.04264</v>
      </c>
      <c r="F1351" s="205">
        <v>8333</v>
      </c>
      <c r="G1351" s="205"/>
      <c r="H1351" s="205">
        <v>5.04264</v>
      </c>
      <c r="I1351" s="204">
        <f t="shared" si="667"/>
        <v>0</v>
      </c>
      <c r="J1351" s="216"/>
      <c r="K1351" s="204"/>
      <c r="L1351" s="204"/>
      <c r="M1351" s="211"/>
      <c r="N1351" s="176">
        <f t="shared" si="664"/>
        <v>8338.04264</v>
      </c>
      <c r="R1351" s="176">
        <v>8333</v>
      </c>
      <c r="S1351" s="205">
        <v>8155.015666</v>
      </c>
    </row>
    <row r="1352" ht="26.25" hidden="1" customHeight="1" spans="1:14">
      <c r="A1352" s="202"/>
      <c r="B1352" s="203"/>
      <c r="C1352" s="203" t="s">
        <v>509</v>
      </c>
      <c r="D1352" s="200">
        <f t="shared" si="665"/>
        <v>32.18862</v>
      </c>
      <c r="E1352" s="204">
        <f t="shared" si="666"/>
        <v>32.18862</v>
      </c>
      <c r="F1352" s="205">
        <v>32.18862</v>
      </c>
      <c r="G1352" s="205"/>
      <c r="H1352" s="205"/>
      <c r="I1352" s="204">
        <f t="shared" si="667"/>
        <v>0</v>
      </c>
      <c r="J1352" s="212"/>
      <c r="K1352" s="205"/>
      <c r="L1352" s="205"/>
      <c r="M1352" s="213"/>
      <c r="N1352" s="176">
        <f t="shared" si="664"/>
        <v>32.18862</v>
      </c>
    </row>
    <row r="1353" ht="26.25" hidden="1" customHeight="1" spans="1:14">
      <c r="A1353" s="202"/>
      <c r="B1353" s="203"/>
      <c r="C1353" s="203" t="s">
        <v>339</v>
      </c>
      <c r="D1353" s="200">
        <f t="shared" si="665"/>
        <v>37.679052</v>
      </c>
      <c r="E1353" s="204">
        <f t="shared" si="666"/>
        <v>37.679052</v>
      </c>
      <c r="F1353" s="205">
        <v>37.679052</v>
      </c>
      <c r="G1353" s="205"/>
      <c r="H1353" s="205"/>
      <c r="I1353" s="204">
        <f t="shared" si="667"/>
        <v>0</v>
      </c>
      <c r="J1353" s="212"/>
      <c r="K1353" s="205"/>
      <c r="L1353" s="205"/>
      <c r="M1353" s="213"/>
      <c r="N1353" s="176">
        <f t="shared" si="664"/>
        <v>37.679052</v>
      </c>
    </row>
    <row r="1354" ht="26.25" hidden="1" customHeight="1" spans="1:14">
      <c r="A1354" s="202"/>
      <c r="B1354" s="203"/>
      <c r="C1354" s="203" t="s">
        <v>296</v>
      </c>
      <c r="D1354" s="200">
        <f t="shared" si="665"/>
        <v>43.858128</v>
      </c>
      <c r="E1354" s="204">
        <f t="shared" si="666"/>
        <v>43.858128</v>
      </c>
      <c r="F1354" s="205">
        <v>43.858128</v>
      </c>
      <c r="G1354" s="205"/>
      <c r="H1354" s="205"/>
      <c r="I1354" s="204">
        <f t="shared" si="667"/>
        <v>0</v>
      </c>
      <c r="J1354" s="212"/>
      <c r="K1354" s="205"/>
      <c r="L1354" s="205"/>
      <c r="M1354" s="213"/>
      <c r="N1354" s="176">
        <f t="shared" si="664"/>
        <v>43.858128</v>
      </c>
    </row>
    <row r="1355" ht="26.25" hidden="1" customHeight="1" spans="1:14">
      <c r="A1355" s="202"/>
      <c r="B1355" s="203"/>
      <c r="C1355" s="203" t="s">
        <v>322</v>
      </c>
      <c r="D1355" s="200">
        <f t="shared" si="665"/>
        <v>37.409246</v>
      </c>
      <c r="E1355" s="204">
        <f t="shared" si="666"/>
        <v>37.409246</v>
      </c>
      <c r="F1355" s="205">
        <v>37.409246</v>
      </c>
      <c r="G1355" s="205"/>
      <c r="H1355" s="205"/>
      <c r="I1355" s="204">
        <f t="shared" si="667"/>
        <v>0</v>
      </c>
      <c r="J1355" s="212"/>
      <c r="K1355" s="205"/>
      <c r="L1355" s="205"/>
      <c r="M1355" s="213"/>
      <c r="N1355" s="176">
        <f t="shared" si="664"/>
        <v>37.409246</v>
      </c>
    </row>
    <row r="1356" ht="26.25" hidden="1" customHeight="1" spans="1:14">
      <c r="A1356" s="202"/>
      <c r="B1356" s="203"/>
      <c r="C1356" s="203" t="s">
        <v>510</v>
      </c>
      <c r="D1356" s="200">
        <f t="shared" si="665"/>
        <v>40.428876</v>
      </c>
      <c r="E1356" s="204">
        <f t="shared" si="666"/>
        <v>40.428876</v>
      </c>
      <c r="F1356" s="205">
        <v>40.428876</v>
      </c>
      <c r="G1356" s="205"/>
      <c r="H1356" s="205"/>
      <c r="I1356" s="204">
        <f t="shared" si="667"/>
        <v>0</v>
      </c>
      <c r="J1356" s="212"/>
      <c r="K1356" s="205"/>
      <c r="L1356" s="205"/>
      <c r="M1356" s="213"/>
      <c r="N1356" s="176">
        <f t="shared" si="664"/>
        <v>40.428876</v>
      </c>
    </row>
    <row r="1357" ht="26.25" hidden="1" customHeight="1" spans="1:14">
      <c r="A1357" s="202"/>
      <c r="B1357" s="203"/>
      <c r="C1357" s="203" t="s">
        <v>445</v>
      </c>
      <c r="D1357" s="200">
        <f t="shared" si="665"/>
        <v>98.807496</v>
      </c>
      <c r="E1357" s="204">
        <f t="shared" si="666"/>
        <v>98.807496</v>
      </c>
      <c r="F1357" s="205">
        <v>98.807496</v>
      </c>
      <c r="G1357" s="205"/>
      <c r="H1357" s="205"/>
      <c r="I1357" s="204">
        <f t="shared" si="667"/>
        <v>0</v>
      </c>
      <c r="J1357" s="212"/>
      <c r="K1357" s="205"/>
      <c r="L1357" s="205"/>
      <c r="M1357" s="213"/>
      <c r="N1357" s="176">
        <f t="shared" si="664"/>
        <v>98.807496</v>
      </c>
    </row>
    <row r="1358" ht="26.25" hidden="1" customHeight="1" spans="1:14">
      <c r="A1358" s="202"/>
      <c r="B1358" s="203"/>
      <c r="C1358" s="203" t="s">
        <v>482</v>
      </c>
      <c r="D1358" s="200">
        <f t="shared" si="665"/>
        <v>11.414364</v>
      </c>
      <c r="E1358" s="204">
        <f t="shared" si="666"/>
        <v>11.414364</v>
      </c>
      <c r="F1358" s="205">
        <v>11.414364</v>
      </c>
      <c r="G1358" s="205"/>
      <c r="H1358" s="205"/>
      <c r="I1358" s="204">
        <f t="shared" si="667"/>
        <v>0</v>
      </c>
      <c r="J1358" s="212"/>
      <c r="K1358" s="205"/>
      <c r="L1358" s="205"/>
      <c r="M1358" s="213"/>
      <c r="N1358" s="176">
        <f t="shared" si="664"/>
        <v>11.414364</v>
      </c>
    </row>
    <row r="1359" ht="26.25" hidden="1" customHeight="1" spans="1:14">
      <c r="A1359" s="202"/>
      <c r="B1359" s="203"/>
      <c r="C1359" s="203" t="s">
        <v>511</v>
      </c>
      <c r="D1359" s="200">
        <f t="shared" si="665"/>
        <v>20.717244</v>
      </c>
      <c r="E1359" s="204">
        <f t="shared" si="666"/>
        <v>20.717244</v>
      </c>
      <c r="F1359" s="205">
        <v>20.717244</v>
      </c>
      <c r="G1359" s="205"/>
      <c r="H1359" s="205"/>
      <c r="I1359" s="204">
        <f t="shared" si="667"/>
        <v>0</v>
      </c>
      <c r="J1359" s="212"/>
      <c r="K1359" s="205"/>
      <c r="L1359" s="205"/>
      <c r="M1359" s="213"/>
      <c r="N1359" s="176">
        <f t="shared" si="664"/>
        <v>20.717244</v>
      </c>
    </row>
    <row r="1360" ht="26.25" hidden="1" customHeight="1" spans="1:14">
      <c r="A1360" s="202"/>
      <c r="B1360" s="203"/>
      <c r="C1360" s="203" t="s">
        <v>512</v>
      </c>
      <c r="D1360" s="200">
        <f t="shared" si="665"/>
        <v>371.35885</v>
      </c>
      <c r="E1360" s="204">
        <f t="shared" si="666"/>
        <v>371.35885</v>
      </c>
      <c r="F1360" s="205">
        <v>371.35885</v>
      </c>
      <c r="G1360" s="205"/>
      <c r="H1360" s="205"/>
      <c r="I1360" s="204">
        <f t="shared" si="667"/>
        <v>0</v>
      </c>
      <c r="J1360" s="212"/>
      <c r="K1360" s="205"/>
      <c r="L1360" s="205"/>
      <c r="M1360" s="213"/>
      <c r="N1360" s="176">
        <f t="shared" si="664"/>
        <v>371.35885</v>
      </c>
    </row>
    <row r="1361" ht="26.25" hidden="1" customHeight="1" spans="1:14">
      <c r="A1361" s="202"/>
      <c r="B1361" s="203"/>
      <c r="C1361" s="203" t="s">
        <v>513</v>
      </c>
      <c r="D1361" s="200">
        <f t="shared" si="665"/>
        <v>42.146746</v>
      </c>
      <c r="E1361" s="204">
        <f t="shared" si="666"/>
        <v>42.146746</v>
      </c>
      <c r="F1361" s="205">
        <v>42.146746</v>
      </c>
      <c r="G1361" s="205"/>
      <c r="H1361" s="205"/>
      <c r="I1361" s="204">
        <f t="shared" si="667"/>
        <v>0</v>
      </c>
      <c r="J1361" s="212"/>
      <c r="K1361" s="205"/>
      <c r="L1361" s="205"/>
      <c r="M1361" s="213"/>
      <c r="N1361" s="176">
        <f t="shared" si="664"/>
        <v>42.146746</v>
      </c>
    </row>
    <row r="1362" ht="26.25" hidden="1" customHeight="1" spans="1:14">
      <c r="A1362" s="202"/>
      <c r="B1362" s="203"/>
      <c r="C1362" s="203" t="s">
        <v>514</v>
      </c>
      <c r="D1362" s="200">
        <f t="shared" si="665"/>
        <v>110.582004</v>
      </c>
      <c r="E1362" s="204">
        <f t="shared" si="666"/>
        <v>110.582004</v>
      </c>
      <c r="F1362" s="205">
        <v>110.582004</v>
      </c>
      <c r="G1362" s="205"/>
      <c r="H1362" s="205"/>
      <c r="I1362" s="204">
        <f t="shared" si="667"/>
        <v>0</v>
      </c>
      <c r="J1362" s="212"/>
      <c r="K1362" s="205"/>
      <c r="L1362" s="205"/>
      <c r="M1362" s="213"/>
      <c r="N1362" s="176">
        <f t="shared" si="664"/>
        <v>110.582004</v>
      </c>
    </row>
    <row r="1363" ht="26.25" hidden="1" customHeight="1" spans="1:14">
      <c r="A1363" s="202"/>
      <c r="B1363" s="203"/>
      <c r="C1363" s="203" t="s">
        <v>515</v>
      </c>
      <c r="D1363" s="200">
        <f t="shared" si="665"/>
        <v>61.766436</v>
      </c>
      <c r="E1363" s="204">
        <f t="shared" si="666"/>
        <v>61.766436</v>
      </c>
      <c r="F1363" s="205">
        <v>61.766436</v>
      </c>
      <c r="G1363" s="205"/>
      <c r="H1363" s="205"/>
      <c r="I1363" s="204">
        <f t="shared" si="667"/>
        <v>0</v>
      </c>
      <c r="J1363" s="212"/>
      <c r="K1363" s="205"/>
      <c r="L1363" s="205"/>
      <c r="M1363" s="213"/>
      <c r="N1363" s="176">
        <f t="shared" si="664"/>
        <v>61.766436</v>
      </c>
    </row>
    <row r="1364" ht="26.25" hidden="1" customHeight="1" spans="1:14">
      <c r="A1364" s="202"/>
      <c r="B1364" s="203"/>
      <c r="C1364" s="203" t="s">
        <v>516</v>
      </c>
      <c r="D1364" s="200">
        <f t="shared" si="665"/>
        <v>6.421992</v>
      </c>
      <c r="E1364" s="204">
        <f t="shared" si="666"/>
        <v>6.421992</v>
      </c>
      <c r="F1364" s="205">
        <v>6.421992</v>
      </c>
      <c r="G1364" s="205"/>
      <c r="H1364" s="205"/>
      <c r="I1364" s="204">
        <f t="shared" si="667"/>
        <v>0</v>
      </c>
      <c r="J1364" s="212"/>
      <c r="K1364" s="205"/>
      <c r="L1364" s="205"/>
      <c r="M1364" s="213"/>
      <c r="N1364" s="176">
        <f t="shared" si="664"/>
        <v>6.421992</v>
      </c>
    </row>
    <row r="1365" ht="26.25" hidden="1" customHeight="1" spans="1:14">
      <c r="A1365" s="202"/>
      <c r="B1365" s="203"/>
      <c r="C1365" s="203" t="s">
        <v>343</v>
      </c>
      <c r="D1365" s="200">
        <f t="shared" si="665"/>
        <v>20.21022</v>
      </c>
      <c r="E1365" s="204">
        <f t="shared" si="666"/>
        <v>20.21022</v>
      </c>
      <c r="F1365" s="205">
        <v>20.21022</v>
      </c>
      <c r="G1365" s="205"/>
      <c r="H1365" s="205"/>
      <c r="I1365" s="204">
        <f t="shared" si="667"/>
        <v>0</v>
      </c>
      <c r="J1365" s="212"/>
      <c r="K1365" s="205"/>
      <c r="L1365" s="205"/>
      <c r="M1365" s="213"/>
      <c r="N1365" s="176">
        <f t="shared" si="664"/>
        <v>20.21022</v>
      </c>
    </row>
    <row r="1366" ht="26.25" hidden="1" customHeight="1" spans="1:14">
      <c r="A1366" s="202"/>
      <c r="B1366" s="203"/>
      <c r="C1366" s="203" t="s">
        <v>501</v>
      </c>
      <c r="D1366" s="200">
        <f t="shared" si="665"/>
        <v>2.06856</v>
      </c>
      <c r="E1366" s="204">
        <f t="shared" si="666"/>
        <v>2.06856</v>
      </c>
      <c r="F1366" s="205">
        <v>2.06856</v>
      </c>
      <c r="G1366" s="205"/>
      <c r="H1366" s="205"/>
      <c r="I1366" s="204">
        <f t="shared" si="667"/>
        <v>0</v>
      </c>
      <c r="J1366" s="212"/>
      <c r="K1366" s="205"/>
      <c r="L1366" s="205"/>
      <c r="M1366" s="213"/>
      <c r="N1366" s="176">
        <f t="shared" si="664"/>
        <v>2.06856</v>
      </c>
    </row>
    <row r="1367" ht="26.25" hidden="1" customHeight="1" spans="1:14">
      <c r="A1367" s="202"/>
      <c r="B1367" s="203"/>
      <c r="C1367" s="203" t="s">
        <v>503</v>
      </c>
      <c r="D1367" s="200">
        <f t="shared" si="665"/>
        <v>4.61406</v>
      </c>
      <c r="E1367" s="204">
        <f t="shared" si="666"/>
        <v>4.61406</v>
      </c>
      <c r="F1367" s="205">
        <v>4.61406</v>
      </c>
      <c r="G1367" s="205"/>
      <c r="H1367" s="205"/>
      <c r="I1367" s="204">
        <f t="shared" si="667"/>
        <v>0</v>
      </c>
      <c r="J1367" s="212"/>
      <c r="K1367" s="205"/>
      <c r="L1367" s="205"/>
      <c r="M1367" s="213"/>
      <c r="N1367" s="176">
        <f t="shared" si="664"/>
        <v>4.61406</v>
      </c>
    </row>
    <row r="1368" ht="26.25" hidden="1" customHeight="1" spans="1:14">
      <c r="A1368" s="202"/>
      <c r="B1368" s="203"/>
      <c r="C1368" s="203" t="s">
        <v>517</v>
      </c>
      <c r="D1368" s="200">
        <f t="shared" si="665"/>
        <v>6.415464</v>
      </c>
      <c r="E1368" s="204">
        <f t="shared" si="666"/>
        <v>6.415464</v>
      </c>
      <c r="F1368" s="205">
        <v>6.415464</v>
      </c>
      <c r="G1368" s="205"/>
      <c r="H1368" s="205"/>
      <c r="I1368" s="204">
        <f t="shared" si="667"/>
        <v>0</v>
      </c>
      <c r="J1368" s="212"/>
      <c r="K1368" s="205"/>
      <c r="L1368" s="205"/>
      <c r="M1368" s="213"/>
      <c r="N1368" s="176">
        <f t="shared" si="664"/>
        <v>6.415464</v>
      </c>
    </row>
    <row r="1369" ht="26.25" hidden="1" customHeight="1" spans="1:14">
      <c r="A1369" s="202"/>
      <c r="B1369" s="203"/>
      <c r="C1369" s="203" t="s">
        <v>347</v>
      </c>
      <c r="D1369" s="200">
        <f t="shared" si="665"/>
        <v>6.593208</v>
      </c>
      <c r="E1369" s="204">
        <f t="shared" si="666"/>
        <v>6.593208</v>
      </c>
      <c r="F1369" s="205">
        <v>6.593208</v>
      </c>
      <c r="G1369" s="205"/>
      <c r="H1369" s="205"/>
      <c r="I1369" s="204">
        <f t="shared" si="667"/>
        <v>0</v>
      </c>
      <c r="J1369" s="212"/>
      <c r="K1369" s="205"/>
      <c r="L1369" s="205"/>
      <c r="M1369" s="213"/>
      <c r="N1369" s="176">
        <f t="shared" si="664"/>
        <v>6.593208</v>
      </c>
    </row>
    <row r="1370" ht="26.25" hidden="1" customHeight="1" spans="1:14">
      <c r="A1370" s="202"/>
      <c r="B1370" s="203"/>
      <c r="C1370" s="203" t="s">
        <v>463</v>
      </c>
      <c r="D1370" s="200">
        <f t="shared" si="665"/>
        <v>4.78128</v>
      </c>
      <c r="E1370" s="204">
        <f t="shared" si="666"/>
        <v>4.78128</v>
      </c>
      <c r="F1370" s="205">
        <v>4.78128</v>
      </c>
      <c r="G1370" s="205"/>
      <c r="H1370" s="205"/>
      <c r="I1370" s="204">
        <f t="shared" si="667"/>
        <v>0</v>
      </c>
      <c r="J1370" s="212"/>
      <c r="K1370" s="205"/>
      <c r="L1370" s="205"/>
      <c r="M1370" s="213"/>
      <c r="N1370" s="176">
        <f t="shared" si="664"/>
        <v>4.78128</v>
      </c>
    </row>
    <row r="1371" ht="26.25" hidden="1" customHeight="1" spans="1:14">
      <c r="A1371" s="202"/>
      <c r="B1371" s="203"/>
      <c r="C1371" s="203" t="s">
        <v>407</v>
      </c>
      <c r="D1371" s="200">
        <f t="shared" si="665"/>
        <v>72.908808</v>
      </c>
      <c r="E1371" s="204">
        <f t="shared" si="666"/>
        <v>72.908808</v>
      </c>
      <c r="F1371" s="205">
        <v>72.908808</v>
      </c>
      <c r="G1371" s="205"/>
      <c r="H1371" s="205"/>
      <c r="I1371" s="204">
        <f t="shared" si="667"/>
        <v>0</v>
      </c>
      <c r="J1371" s="212"/>
      <c r="K1371" s="205"/>
      <c r="L1371" s="205"/>
      <c r="M1371" s="213"/>
      <c r="N1371" s="176">
        <f t="shared" si="664"/>
        <v>72.908808</v>
      </c>
    </row>
    <row r="1372" ht="26.25" hidden="1" customHeight="1" spans="1:14">
      <c r="A1372" s="202"/>
      <c r="B1372" s="203"/>
      <c r="C1372" s="203" t="s">
        <v>427</v>
      </c>
      <c r="D1372" s="200">
        <f t="shared" si="665"/>
        <v>16.35504</v>
      </c>
      <c r="E1372" s="204">
        <f t="shared" si="666"/>
        <v>16.35504</v>
      </c>
      <c r="F1372" s="205">
        <v>16.35504</v>
      </c>
      <c r="G1372" s="205"/>
      <c r="H1372" s="205"/>
      <c r="I1372" s="204">
        <f t="shared" si="667"/>
        <v>0</v>
      </c>
      <c r="J1372" s="212"/>
      <c r="K1372" s="205"/>
      <c r="L1372" s="205"/>
      <c r="M1372" s="213"/>
      <c r="N1372" s="176">
        <f t="shared" si="664"/>
        <v>16.35504</v>
      </c>
    </row>
    <row r="1373" ht="26.25" hidden="1" customHeight="1" spans="1:14">
      <c r="A1373" s="202"/>
      <c r="B1373" s="203"/>
      <c r="C1373" s="203" t="s">
        <v>370</v>
      </c>
      <c r="D1373" s="200">
        <f t="shared" si="665"/>
        <v>12.135504</v>
      </c>
      <c r="E1373" s="204">
        <f t="shared" si="666"/>
        <v>12.135504</v>
      </c>
      <c r="F1373" s="205">
        <v>12.135504</v>
      </c>
      <c r="G1373" s="205"/>
      <c r="H1373" s="205"/>
      <c r="I1373" s="204">
        <f t="shared" si="667"/>
        <v>0</v>
      </c>
      <c r="J1373" s="212"/>
      <c r="K1373" s="205"/>
      <c r="L1373" s="205"/>
      <c r="M1373" s="213"/>
      <c r="N1373" s="176">
        <f t="shared" si="664"/>
        <v>12.135504</v>
      </c>
    </row>
    <row r="1374" ht="26.25" hidden="1" customHeight="1" spans="1:14">
      <c r="A1374" s="202"/>
      <c r="B1374" s="203"/>
      <c r="C1374" s="203" t="s">
        <v>394</v>
      </c>
      <c r="D1374" s="200">
        <f t="shared" si="665"/>
        <v>17.095032</v>
      </c>
      <c r="E1374" s="204">
        <f t="shared" si="666"/>
        <v>17.095032</v>
      </c>
      <c r="F1374" s="205">
        <v>17.095032</v>
      </c>
      <c r="G1374" s="205"/>
      <c r="H1374" s="205"/>
      <c r="I1374" s="204">
        <f t="shared" si="667"/>
        <v>0</v>
      </c>
      <c r="J1374" s="212"/>
      <c r="K1374" s="205"/>
      <c r="L1374" s="205"/>
      <c r="M1374" s="213"/>
      <c r="N1374" s="176">
        <f t="shared" si="664"/>
        <v>17.095032</v>
      </c>
    </row>
    <row r="1375" ht="26.25" hidden="1" customHeight="1" spans="1:14">
      <c r="A1375" s="202"/>
      <c r="B1375" s="203"/>
      <c r="C1375" s="203" t="s">
        <v>518</v>
      </c>
      <c r="D1375" s="200">
        <f t="shared" si="665"/>
        <v>20.7348</v>
      </c>
      <c r="E1375" s="204">
        <f t="shared" si="666"/>
        <v>20.7348</v>
      </c>
      <c r="F1375" s="205">
        <v>20.7348</v>
      </c>
      <c r="G1375" s="205"/>
      <c r="H1375" s="205"/>
      <c r="I1375" s="204">
        <f t="shared" si="667"/>
        <v>0</v>
      </c>
      <c r="J1375" s="212"/>
      <c r="K1375" s="205"/>
      <c r="L1375" s="205"/>
      <c r="M1375" s="213"/>
      <c r="N1375" s="176">
        <f t="shared" si="664"/>
        <v>20.7348</v>
      </c>
    </row>
    <row r="1376" ht="26.25" hidden="1" customHeight="1" spans="1:14">
      <c r="A1376" s="202"/>
      <c r="B1376" s="203"/>
      <c r="C1376" s="203" t="s">
        <v>496</v>
      </c>
      <c r="D1376" s="200">
        <f t="shared" si="665"/>
        <v>3.50574</v>
      </c>
      <c r="E1376" s="204">
        <f t="shared" si="666"/>
        <v>3.50574</v>
      </c>
      <c r="F1376" s="205">
        <v>3.50574</v>
      </c>
      <c r="G1376" s="205"/>
      <c r="H1376" s="205"/>
      <c r="I1376" s="204">
        <f t="shared" si="667"/>
        <v>0</v>
      </c>
      <c r="J1376" s="212"/>
      <c r="K1376" s="205"/>
      <c r="L1376" s="205"/>
      <c r="M1376" s="213"/>
      <c r="N1376" s="176">
        <f t="shared" si="664"/>
        <v>3.50574</v>
      </c>
    </row>
    <row r="1377" ht="26.25" hidden="1" customHeight="1" spans="1:14">
      <c r="A1377" s="202"/>
      <c r="B1377" s="203"/>
      <c r="C1377" s="203" t="s">
        <v>519</v>
      </c>
      <c r="D1377" s="200">
        <f t="shared" si="665"/>
        <v>10.416288</v>
      </c>
      <c r="E1377" s="204">
        <f t="shared" si="666"/>
        <v>10.416288</v>
      </c>
      <c r="F1377" s="205">
        <v>10.416288</v>
      </c>
      <c r="G1377" s="205"/>
      <c r="H1377" s="205"/>
      <c r="I1377" s="204">
        <f t="shared" si="667"/>
        <v>0</v>
      </c>
      <c r="J1377" s="212"/>
      <c r="K1377" s="205"/>
      <c r="L1377" s="205"/>
      <c r="M1377" s="213"/>
      <c r="N1377" s="176">
        <f t="shared" si="664"/>
        <v>10.416288</v>
      </c>
    </row>
    <row r="1378" ht="26.25" hidden="1" customHeight="1" spans="1:14">
      <c r="A1378" s="202"/>
      <c r="B1378" s="203"/>
      <c r="C1378" s="203" t="s">
        <v>471</v>
      </c>
      <c r="D1378" s="200">
        <f t="shared" si="665"/>
        <v>9.07488</v>
      </c>
      <c r="E1378" s="204">
        <f t="shared" si="666"/>
        <v>9.07488</v>
      </c>
      <c r="F1378" s="205">
        <v>9.07488</v>
      </c>
      <c r="G1378" s="205"/>
      <c r="H1378" s="205"/>
      <c r="I1378" s="204">
        <f t="shared" si="667"/>
        <v>0</v>
      </c>
      <c r="J1378" s="212"/>
      <c r="K1378" s="205"/>
      <c r="L1378" s="205"/>
      <c r="M1378" s="213"/>
      <c r="N1378" s="176">
        <f t="shared" si="664"/>
        <v>9.07488</v>
      </c>
    </row>
    <row r="1379" ht="26.25" hidden="1" customHeight="1" spans="1:14">
      <c r="A1379" s="202"/>
      <c r="B1379" s="203"/>
      <c r="C1379" s="203" t="s">
        <v>520</v>
      </c>
      <c r="D1379" s="200">
        <f t="shared" si="665"/>
        <v>10.923348</v>
      </c>
      <c r="E1379" s="204">
        <f t="shared" si="666"/>
        <v>10.923348</v>
      </c>
      <c r="F1379" s="205">
        <v>10.923348</v>
      </c>
      <c r="G1379" s="205"/>
      <c r="H1379" s="205"/>
      <c r="I1379" s="204">
        <f t="shared" si="667"/>
        <v>0</v>
      </c>
      <c r="J1379" s="212"/>
      <c r="K1379" s="205"/>
      <c r="L1379" s="205"/>
      <c r="M1379" s="213"/>
      <c r="N1379" s="176">
        <f t="shared" si="664"/>
        <v>10.923348</v>
      </c>
    </row>
    <row r="1380" ht="26.25" hidden="1" customHeight="1" spans="1:14">
      <c r="A1380" s="202"/>
      <c r="B1380" s="203"/>
      <c r="C1380" s="203" t="s">
        <v>521</v>
      </c>
      <c r="D1380" s="200">
        <f t="shared" si="665"/>
        <v>4.450224</v>
      </c>
      <c r="E1380" s="204">
        <f t="shared" si="666"/>
        <v>4.450224</v>
      </c>
      <c r="F1380" s="205">
        <v>4.450224</v>
      </c>
      <c r="G1380" s="205"/>
      <c r="H1380" s="205"/>
      <c r="I1380" s="204">
        <f t="shared" si="667"/>
        <v>0</v>
      </c>
      <c r="J1380" s="212"/>
      <c r="K1380" s="205"/>
      <c r="L1380" s="205"/>
      <c r="M1380" s="213"/>
      <c r="N1380" s="176">
        <f t="shared" si="664"/>
        <v>4.450224</v>
      </c>
    </row>
    <row r="1381" ht="26.25" hidden="1" customHeight="1" spans="1:14">
      <c r="A1381" s="202"/>
      <c r="B1381" s="203"/>
      <c r="C1381" s="203" t="s">
        <v>354</v>
      </c>
      <c r="D1381" s="200">
        <f t="shared" si="665"/>
        <v>10.744296</v>
      </c>
      <c r="E1381" s="204">
        <f t="shared" si="666"/>
        <v>10.744296</v>
      </c>
      <c r="F1381" s="205">
        <v>10.744296</v>
      </c>
      <c r="G1381" s="205"/>
      <c r="H1381" s="205"/>
      <c r="I1381" s="204">
        <f t="shared" si="667"/>
        <v>0</v>
      </c>
      <c r="J1381" s="212"/>
      <c r="K1381" s="205"/>
      <c r="L1381" s="205"/>
      <c r="M1381" s="213"/>
      <c r="N1381" s="176">
        <f t="shared" si="664"/>
        <v>10.744296</v>
      </c>
    </row>
    <row r="1382" ht="26.25" hidden="1" customHeight="1" spans="1:14">
      <c r="A1382" s="202"/>
      <c r="B1382" s="203"/>
      <c r="C1382" s="203" t="s">
        <v>522</v>
      </c>
      <c r="D1382" s="200">
        <f t="shared" si="665"/>
        <v>132.459948</v>
      </c>
      <c r="E1382" s="204">
        <f t="shared" si="666"/>
        <v>132.459948</v>
      </c>
      <c r="F1382" s="205">
        <v>132.459948</v>
      </c>
      <c r="G1382" s="205"/>
      <c r="H1382" s="205"/>
      <c r="I1382" s="204">
        <f t="shared" si="667"/>
        <v>0</v>
      </c>
      <c r="J1382" s="212"/>
      <c r="K1382" s="205"/>
      <c r="L1382" s="205"/>
      <c r="M1382" s="213"/>
      <c r="N1382" s="176">
        <f t="shared" si="664"/>
        <v>132.459948</v>
      </c>
    </row>
    <row r="1383" ht="26.25" hidden="1" customHeight="1" spans="1:14">
      <c r="A1383" s="202"/>
      <c r="B1383" s="203"/>
      <c r="C1383" s="203" t="s">
        <v>523</v>
      </c>
      <c r="D1383" s="200">
        <f t="shared" si="665"/>
        <v>35.80338</v>
      </c>
      <c r="E1383" s="204">
        <f t="shared" si="666"/>
        <v>35.80338</v>
      </c>
      <c r="F1383" s="205">
        <v>35.80338</v>
      </c>
      <c r="G1383" s="205"/>
      <c r="H1383" s="205"/>
      <c r="I1383" s="204">
        <f t="shared" si="667"/>
        <v>0</v>
      </c>
      <c r="J1383" s="212"/>
      <c r="K1383" s="205"/>
      <c r="L1383" s="205"/>
      <c r="M1383" s="213"/>
      <c r="N1383" s="176">
        <f t="shared" si="664"/>
        <v>35.80338</v>
      </c>
    </row>
    <row r="1384" ht="26.25" hidden="1" customHeight="1" spans="1:14">
      <c r="A1384" s="202"/>
      <c r="B1384" s="203"/>
      <c r="C1384" s="203" t="s">
        <v>524</v>
      </c>
      <c r="D1384" s="200">
        <f t="shared" si="665"/>
        <v>8.14368</v>
      </c>
      <c r="E1384" s="204">
        <f t="shared" si="666"/>
        <v>8.14368</v>
      </c>
      <c r="F1384" s="205">
        <v>8.14368</v>
      </c>
      <c r="G1384" s="205"/>
      <c r="H1384" s="205"/>
      <c r="I1384" s="204">
        <f t="shared" si="667"/>
        <v>0</v>
      </c>
      <c r="J1384" s="212"/>
      <c r="K1384" s="205"/>
      <c r="L1384" s="205"/>
      <c r="M1384" s="213"/>
      <c r="N1384" s="176">
        <f t="shared" si="664"/>
        <v>8.14368</v>
      </c>
    </row>
    <row r="1385" ht="26.25" hidden="1" customHeight="1" spans="1:14">
      <c r="A1385" s="202"/>
      <c r="B1385" s="203"/>
      <c r="C1385" s="203" t="s">
        <v>525</v>
      </c>
      <c r="D1385" s="200">
        <f t="shared" si="665"/>
        <v>3.202848</v>
      </c>
      <c r="E1385" s="204">
        <f t="shared" si="666"/>
        <v>3.202848</v>
      </c>
      <c r="F1385" s="205">
        <v>3.202848</v>
      </c>
      <c r="G1385" s="205"/>
      <c r="H1385" s="205"/>
      <c r="I1385" s="204">
        <f t="shared" si="667"/>
        <v>0</v>
      </c>
      <c r="J1385" s="212"/>
      <c r="K1385" s="205"/>
      <c r="L1385" s="205"/>
      <c r="M1385" s="213"/>
      <c r="N1385" s="176">
        <f t="shared" si="664"/>
        <v>3.202848</v>
      </c>
    </row>
    <row r="1386" ht="26.25" hidden="1" customHeight="1" spans="1:14">
      <c r="A1386" s="202"/>
      <c r="B1386" s="203"/>
      <c r="C1386" s="203" t="s">
        <v>526</v>
      </c>
      <c r="D1386" s="200">
        <f t="shared" si="665"/>
        <v>76.035797</v>
      </c>
      <c r="E1386" s="204">
        <f t="shared" si="666"/>
        <v>76.035797</v>
      </c>
      <c r="F1386" s="205">
        <v>76.035797</v>
      </c>
      <c r="G1386" s="205"/>
      <c r="H1386" s="205"/>
      <c r="I1386" s="204">
        <f t="shared" si="667"/>
        <v>0</v>
      </c>
      <c r="J1386" s="212"/>
      <c r="K1386" s="205"/>
      <c r="L1386" s="205"/>
      <c r="M1386" s="213"/>
      <c r="N1386" s="176">
        <f t="shared" si="664"/>
        <v>76.035797</v>
      </c>
    </row>
    <row r="1387" ht="26.25" hidden="1" customHeight="1" spans="1:14">
      <c r="A1387" s="202"/>
      <c r="B1387" s="203"/>
      <c r="C1387" s="203" t="s">
        <v>526</v>
      </c>
      <c r="D1387" s="200">
        <f t="shared" si="665"/>
        <v>27.529664</v>
      </c>
      <c r="E1387" s="204">
        <f t="shared" si="666"/>
        <v>27.529664</v>
      </c>
      <c r="F1387" s="205">
        <v>27.529664</v>
      </c>
      <c r="G1387" s="205"/>
      <c r="H1387" s="205"/>
      <c r="I1387" s="204">
        <f t="shared" si="667"/>
        <v>0</v>
      </c>
      <c r="J1387" s="212"/>
      <c r="K1387" s="205"/>
      <c r="L1387" s="205"/>
      <c r="M1387" s="213"/>
      <c r="N1387" s="176">
        <f t="shared" si="664"/>
        <v>27.529664</v>
      </c>
    </row>
    <row r="1388" ht="26.25" hidden="1" customHeight="1" spans="1:14">
      <c r="A1388" s="202"/>
      <c r="B1388" s="203"/>
      <c r="C1388" s="203" t="s">
        <v>526</v>
      </c>
      <c r="D1388" s="200">
        <f t="shared" si="665"/>
        <v>14.642954</v>
      </c>
      <c r="E1388" s="204">
        <f t="shared" si="666"/>
        <v>14.642954</v>
      </c>
      <c r="F1388" s="205">
        <v>14.642954</v>
      </c>
      <c r="G1388" s="205"/>
      <c r="H1388" s="205"/>
      <c r="I1388" s="204">
        <f t="shared" si="667"/>
        <v>0</v>
      </c>
      <c r="J1388" s="212"/>
      <c r="K1388" s="205"/>
      <c r="L1388" s="205"/>
      <c r="M1388" s="213"/>
      <c r="N1388" s="176">
        <f t="shared" si="664"/>
        <v>14.642954</v>
      </c>
    </row>
    <row r="1389" ht="26.25" hidden="1" customHeight="1" spans="1:14">
      <c r="A1389" s="202"/>
      <c r="B1389" s="203"/>
      <c r="C1389" s="203" t="s">
        <v>526</v>
      </c>
      <c r="D1389" s="200">
        <f t="shared" si="665"/>
        <v>8.610631</v>
      </c>
      <c r="E1389" s="204">
        <f t="shared" si="666"/>
        <v>8.610631</v>
      </c>
      <c r="F1389" s="205">
        <v>8.610631</v>
      </c>
      <c r="G1389" s="205"/>
      <c r="H1389" s="205"/>
      <c r="I1389" s="204">
        <f t="shared" si="667"/>
        <v>0</v>
      </c>
      <c r="J1389" s="212"/>
      <c r="K1389" s="205"/>
      <c r="L1389" s="205"/>
      <c r="M1389" s="213"/>
      <c r="N1389" s="176">
        <f t="shared" si="664"/>
        <v>8.610631</v>
      </c>
    </row>
    <row r="1390" ht="26.25" hidden="1" customHeight="1" spans="1:14">
      <c r="A1390" s="202"/>
      <c r="B1390" s="203"/>
      <c r="C1390" s="203" t="s">
        <v>526</v>
      </c>
      <c r="D1390" s="200">
        <f t="shared" si="665"/>
        <v>8.411405</v>
      </c>
      <c r="E1390" s="204">
        <f t="shared" si="666"/>
        <v>8.411405</v>
      </c>
      <c r="F1390" s="205">
        <v>8.411405</v>
      </c>
      <c r="G1390" s="205"/>
      <c r="H1390" s="205"/>
      <c r="I1390" s="204">
        <f t="shared" si="667"/>
        <v>0</v>
      </c>
      <c r="J1390" s="212"/>
      <c r="K1390" s="205"/>
      <c r="L1390" s="205"/>
      <c r="M1390" s="213"/>
      <c r="N1390" s="176">
        <f t="shared" si="664"/>
        <v>8.411405</v>
      </c>
    </row>
    <row r="1391" ht="26.25" hidden="1" customHeight="1" spans="1:14">
      <c r="A1391" s="202"/>
      <c r="B1391" s="203"/>
      <c r="C1391" s="203" t="s">
        <v>526</v>
      </c>
      <c r="D1391" s="200">
        <f t="shared" si="665"/>
        <v>13.664573</v>
      </c>
      <c r="E1391" s="204">
        <f t="shared" si="666"/>
        <v>13.664573</v>
      </c>
      <c r="F1391" s="205">
        <v>13.664573</v>
      </c>
      <c r="G1391" s="205"/>
      <c r="H1391" s="205"/>
      <c r="I1391" s="204">
        <f t="shared" si="667"/>
        <v>0</v>
      </c>
      <c r="J1391" s="212"/>
      <c r="K1391" s="205"/>
      <c r="L1391" s="205"/>
      <c r="M1391" s="213"/>
      <c r="N1391" s="176">
        <f t="shared" si="664"/>
        <v>13.664573</v>
      </c>
    </row>
    <row r="1392" ht="26.25" hidden="1" customHeight="1" spans="1:14">
      <c r="A1392" s="202"/>
      <c r="B1392" s="203"/>
      <c r="C1392" s="203" t="s">
        <v>526</v>
      </c>
      <c r="D1392" s="200">
        <f t="shared" si="665"/>
        <v>2.123184</v>
      </c>
      <c r="E1392" s="204">
        <f t="shared" si="666"/>
        <v>2.123184</v>
      </c>
      <c r="F1392" s="205">
        <v>2.123184</v>
      </c>
      <c r="G1392" s="205"/>
      <c r="H1392" s="205"/>
      <c r="I1392" s="204">
        <f t="shared" si="667"/>
        <v>0</v>
      </c>
      <c r="J1392" s="212"/>
      <c r="K1392" s="205"/>
      <c r="L1392" s="205"/>
      <c r="M1392" s="213"/>
      <c r="N1392" s="176">
        <f t="shared" si="664"/>
        <v>2.123184</v>
      </c>
    </row>
    <row r="1393" ht="26.25" hidden="1" customHeight="1" spans="1:14">
      <c r="A1393" s="202"/>
      <c r="B1393" s="203"/>
      <c r="C1393" s="203" t="s">
        <v>526</v>
      </c>
      <c r="D1393" s="200">
        <f t="shared" si="665"/>
        <v>2.80407</v>
      </c>
      <c r="E1393" s="204">
        <f t="shared" si="666"/>
        <v>2.80407</v>
      </c>
      <c r="F1393" s="205">
        <v>2.80407</v>
      </c>
      <c r="G1393" s="205"/>
      <c r="H1393" s="205"/>
      <c r="I1393" s="204">
        <f t="shared" si="667"/>
        <v>0</v>
      </c>
      <c r="J1393" s="212"/>
      <c r="K1393" s="205"/>
      <c r="L1393" s="205"/>
      <c r="M1393" s="213"/>
      <c r="N1393" s="176">
        <f t="shared" si="664"/>
        <v>2.80407</v>
      </c>
    </row>
    <row r="1394" ht="26.25" hidden="1" customHeight="1" spans="1:14">
      <c r="A1394" s="202"/>
      <c r="B1394" s="203"/>
      <c r="C1394" s="203" t="s">
        <v>526</v>
      </c>
      <c r="D1394" s="200">
        <f t="shared" si="665"/>
        <v>2.963527</v>
      </c>
      <c r="E1394" s="204">
        <f t="shared" si="666"/>
        <v>2.963527</v>
      </c>
      <c r="F1394" s="205">
        <v>2.963527</v>
      </c>
      <c r="G1394" s="205"/>
      <c r="H1394" s="205"/>
      <c r="I1394" s="204">
        <f t="shared" si="667"/>
        <v>0</v>
      </c>
      <c r="J1394" s="212"/>
      <c r="K1394" s="205"/>
      <c r="L1394" s="205"/>
      <c r="M1394" s="213"/>
      <c r="N1394" s="176">
        <f t="shared" si="664"/>
        <v>2.963527</v>
      </c>
    </row>
    <row r="1395" ht="26.25" hidden="1" customHeight="1" spans="1:14">
      <c r="A1395" s="202"/>
      <c r="B1395" s="203"/>
      <c r="C1395" s="203" t="s">
        <v>526</v>
      </c>
      <c r="D1395" s="200">
        <f t="shared" si="665"/>
        <v>3.662153</v>
      </c>
      <c r="E1395" s="204">
        <f t="shared" si="666"/>
        <v>3.662153</v>
      </c>
      <c r="F1395" s="205">
        <v>3.662153</v>
      </c>
      <c r="G1395" s="205"/>
      <c r="H1395" s="205"/>
      <c r="I1395" s="204">
        <f t="shared" si="667"/>
        <v>0</v>
      </c>
      <c r="J1395" s="212"/>
      <c r="K1395" s="205"/>
      <c r="L1395" s="205"/>
      <c r="M1395" s="213"/>
      <c r="N1395" s="176">
        <f t="shared" si="664"/>
        <v>3.662153</v>
      </c>
    </row>
    <row r="1396" ht="26.25" hidden="1" customHeight="1" spans="1:14">
      <c r="A1396" s="202"/>
      <c r="B1396" s="203"/>
      <c r="C1396" s="203" t="s">
        <v>526</v>
      </c>
      <c r="D1396" s="200">
        <f t="shared" si="665"/>
        <v>2.990125</v>
      </c>
      <c r="E1396" s="204">
        <f t="shared" si="666"/>
        <v>2.990125</v>
      </c>
      <c r="F1396" s="205">
        <v>2.990125</v>
      </c>
      <c r="G1396" s="205"/>
      <c r="H1396" s="205"/>
      <c r="I1396" s="204">
        <f t="shared" si="667"/>
        <v>0</v>
      </c>
      <c r="J1396" s="212"/>
      <c r="K1396" s="205"/>
      <c r="L1396" s="205"/>
      <c r="M1396" s="213"/>
      <c r="N1396" s="176">
        <f t="shared" si="664"/>
        <v>2.990125</v>
      </c>
    </row>
    <row r="1397" ht="26.25" hidden="1" customHeight="1" spans="1:14">
      <c r="A1397" s="202"/>
      <c r="B1397" s="203"/>
      <c r="C1397" s="203" t="s">
        <v>526</v>
      </c>
      <c r="D1397" s="200">
        <f t="shared" si="665"/>
        <v>3.020309</v>
      </c>
      <c r="E1397" s="204">
        <f t="shared" si="666"/>
        <v>3.020309</v>
      </c>
      <c r="F1397" s="205">
        <v>3.020309</v>
      </c>
      <c r="G1397" s="205"/>
      <c r="H1397" s="205"/>
      <c r="I1397" s="204">
        <f t="shared" si="667"/>
        <v>0</v>
      </c>
      <c r="J1397" s="212"/>
      <c r="K1397" s="205"/>
      <c r="L1397" s="205"/>
      <c r="M1397" s="213"/>
      <c r="N1397" s="176">
        <f t="shared" si="664"/>
        <v>3.020309</v>
      </c>
    </row>
    <row r="1398" ht="26.25" hidden="1" customHeight="1" spans="1:14">
      <c r="A1398" s="202"/>
      <c r="B1398" s="203"/>
      <c r="C1398" s="203" t="s">
        <v>526</v>
      </c>
      <c r="D1398" s="200">
        <f t="shared" si="665"/>
        <v>2.996646</v>
      </c>
      <c r="E1398" s="204">
        <f t="shared" si="666"/>
        <v>2.996646</v>
      </c>
      <c r="F1398" s="205">
        <v>2.996646</v>
      </c>
      <c r="G1398" s="205"/>
      <c r="H1398" s="205"/>
      <c r="I1398" s="204">
        <f t="shared" si="667"/>
        <v>0</v>
      </c>
      <c r="J1398" s="212"/>
      <c r="K1398" s="205"/>
      <c r="L1398" s="205"/>
      <c r="M1398" s="213"/>
      <c r="N1398" s="176">
        <f t="shared" si="664"/>
        <v>2.996646</v>
      </c>
    </row>
    <row r="1399" ht="26.25" hidden="1" customHeight="1" spans="1:14">
      <c r="A1399" s="202"/>
      <c r="B1399" s="203"/>
      <c r="C1399" s="203" t="s">
        <v>526</v>
      </c>
      <c r="D1399" s="200">
        <f t="shared" si="665"/>
        <v>2.892528</v>
      </c>
      <c r="E1399" s="204">
        <f t="shared" si="666"/>
        <v>2.892528</v>
      </c>
      <c r="F1399" s="205">
        <v>2.892528</v>
      </c>
      <c r="G1399" s="205"/>
      <c r="H1399" s="205"/>
      <c r="I1399" s="204">
        <f t="shared" si="667"/>
        <v>0</v>
      </c>
      <c r="J1399" s="212"/>
      <c r="K1399" s="205"/>
      <c r="L1399" s="205"/>
      <c r="M1399" s="213"/>
      <c r="N1399" s="176">
        <f t="shared" si="664"/>
        <v>2.892528</v>
      </c>
    </row>
    <row r="1400" ht="26.25" hidden="1" customHeight="1" spans="1:14">
      <c r="A1400" s="202"/>
      <c r="B1400" s="203"/>
      <c r="C1400" s="203" t="s">
        <v>526</v>
      </c>
      <c r="D1400" s="200">
        <f t="shared" si="665"/>
        <v>2.805614</v>
      </c>
      <c r="E1400" s="204">
        <f t="shared" si="666"/>
        <v>2.805614</v>
      </c>
      <c r="F1400" s="205">
        <v>2.805614</v>
      </c>
      <c r="G1400" s="205"/>
      <c r="H1400" s="205"/>
      <c r="I1400" s="204">
        <f t="shared" si="667"/>
        <v>0</v>
      </c>
      <c r="J1400" s="212"/>
      <c r="K1400" s="205"/>
      <c r="L1400" s="205"/>
      <c r="M1400" s="213"/>
      <c r="N1400" s="176">
        <f t="shared" si="664"/>
        <v>2.805614</v>
      </c>
    </row>
    <row r="1401" ht="26.25" hidden="1" customHeight="1" spans="1:14">
      <c r="A1401" s="202"/>
      <c r="B1401" s="203"/>
      <c r="C1401" s="203" t="s">
        <v>526</v>
      </c>
      <c r="D1401" s="200">
        <f t="shared" si="665"/>
        <v>2.94877</v>
      </c>
      <c r="E1401" s="204">
        <f t="shared" si="666"/>
        <v>2.94877</v>
      </c>
      <c r="F1401" s="205">
        <v>2.94877</v>
      </c>
      <c r="G1401" s="205"/>
      <c r="H1401" s="205"/>
      <c r="I1401" s="204">
        <f t="shared" si="667"/>
        <v>0</v>
      </c>
      <c r="J1401" s="212"/>
      <c r="K1401" s="205"/>
      <c r="L1401" s="205"/>
      <c r="M1401" s="213"/>
      <c r="N1401" s="176">
        <f t="shared" si="664"/>
        <v>2.94877</v>
      </c>
    </row>
    <row r="1402" ht="26.25" hidden="1" customHeight="1" spans="1:14">
      <c r="A1402" s="202"/>
      <c r="B1402" s="203"/>
      <c r="C1402" s="203" t="s">
        <v>526</v>
      </c>
      <c r="D1402" s="200">
        <f t="shared" si="665"/>
        <v>2.643512</v>
      </c>
      <c r="E1402" s="204">
        <f t="shared" si="666"/>
        <v>2.643512</v>
      </c>
      <c r="F1402" s="205">
        <v>2.643512</v>
      </c>
      <c r="G1402" s="205"/>
      <c r="H1402" s="205"/>
      <c r="I1402" s="204">
        <f t="shared" si="667"/>
        <v>0</v>
      </c>
      <c r="J1402" s="212"/>
      <c r="K1402" s="205"/>
      <c r="L1402" s="205"/>
      <c r="M1402" s="213"/>
      <c r="N1402" s="176">
        <f t="shared" si="664"/>
        <v>2.643512</v>
      </c>
    </row>
    <row r="1403" ht="26.25" hidden="1" customHeight="1" spans="1:14">
      <c r="A1403" s="202"/>
      <c r="B1403" s="203"/>
      <c r="C1403" s="203" t="s">
        <v>526</v>
      </c>
      <c r="D1403" s="200">
        <f t="shared" si="665"/>
        <v>84.170172</v>
      </c>
      <c r="E1403" s="204">
        <f t="shared" si="666"/>
        <v>84.170172</v>
      </c>
      <c r="F1403" s="205">
        <v>84.170172</v>
      </c>
      <c r="G1403" s="205"/>
      <c r="H1403" s="205"/>
      <c r="I1403" s="204">
        <f t="shared" si="667"/>
        <v>0</v>
      </c>
      <c r="J1403" s="212"/>
      <c r="K1403" s="205"/>
      <c r="L1403" s="205"/>
      <c r="M1403" s="213"/>
      <c r="N1403" s="176">
        <f t="shared" si="664"/>
        <v>84.170172</v>
      </c>
    </row>
    <row r="1404" ht="26.25" hidden="1" customHeight="1" spans="1:14">
      <c r="A1404" s="202"/>
      <c r="B1404" s="203"/>
      <c r="C1404" s="203" t="s">
        <v>526</v>
      </c>
      <c r="D1404" s="200">
        <f t="shared" si="665"/>
        <v>89.617152</v>
      </c>
      <c r="E1404" s="204">
        <f t="shared" si="666"/>
        <v>89.617152</v>
      </c>
      <c r="F1404" s="205">
        <v>89.617152</v>
      </c>
      <c r="G1404" s="205"/>
      <c r="H1404" s="205"/>
      <c r="I1404" s="204">
        <f t="shared" si="667"/>
        <v>0</v>
      </c>
      <c r="J1404" s="212"/>
      <c r="K1404" s="205"/>
      <c r="L1404" s="205"/>
      <c r="M1404" s="213"/>
      <c r="N1404" s="176">
        <f t="shared" si="664"/>
        <v>89.617152</v>
      </c>
    </row>
    <row r="1405" ht="26.25" hidden="1" customHeight="1" spans="1:14">
      <c r="A1405" s="202"/>
      <c r="B1405" s="203"/>
      <c r="C1405" s="203" t="s">
        <v>526</v>
      </c>
      <c r="D1405" s="200">
        <f t="shared" si="665"/>
        <v>217.093915</v>
      </c>
      <c r="E1405" s="204">
        <f t="shared" si="666"/>
        <v>217.093915</v>
      </c>
      <c r="F1405" s="205">
        <v>217.093915</v>
      </c>
      <c r="G1405" s="205"/>
      <c r="H1405" s="205"/>
      <c r="I1405" s="204">
        <f t="shared" si="667"/>
        <v>0</v>
      </c>
      <c r="J1405" s="212"/>
      <c r="K1405" s="205"/>
      <c r="L1405" s="205"/>
      <c r="M1405" s="213"/>
      <c r="N1405" s="176">
        <f t="shared" si="664"/>
        <v>217.093915</v>
      </c>
    </row>
    <row r="1406" ht="26.25" hidden="1" customHeight="1" spans="1:14">
      <c r="A1406" s="202"/>
      <c r="B1406" s="203"/>
      <c r="C1406" s="203" t="s">
        <v>526</v>
      </c>
      <c r="D1406" s="200">
        <f t="shared" si="665"/>
        <v>65.213322</v>
      </c>
      <c r="E1406" s="204">
        <f t="shared" si="666"/>
        <v>65.213322</v>
      </c>
      <c r="F1406" s="205">
        <v>65.213322</v>
      </c>
      <c r="G1406" s="205"/>
      <c r="H1406" s="205"/>
      <c r="I1406" s="204">
        <f t="shared" si="667"/>
        <v>0</v>
      </c>
      <c r="J1406" s="212"/>
      <c r="K1406" s="205"/>
      <c r="L1406" s="205"/>
      <c r="M1406" s="213"/>
      <c r="N1406" s="176">
        <f t="shared" si="664"/>
        <v>65.213322</v>
      </c>
    </row>
    <row r="1407" ht="26.25" hidden="1" customHeight="1" spans="1:14">
      <c r="A1407" s="202"/>
      <c r="B1407" s="203"/>
      <c r="C1407" s="203" t="s">
        <v>526</v>
      </c>
      <c r="D1407" s="200">
        <f t="shared" si="665"/>
        <v>51.935736</v>
      </c>
      <c r="E1407" s="204">
        <f t="shared" si="666"/>
        <v>51.935736</v>
      </c>
      <c r="F1407" s="205">
        <v>51.935736</v>
      </c>
      <c r="G1407" s="205"/>
      <c r="H1407" s="205"/>
      <c r="I1407" s="204">
        <f t="shared" si="667"/>
        <v>0</v>
      </c>
      <c r="J1407" s="212"/>
      <c r="K1407" s="205"/>
      <c r="L1407" s="205"/>
      <c r="M1407" s="213"/>
      <c r="N1407" s="176">
        <f t="shared" si="664"/>
        <v>51.935736</v>
      </c>
    </row>
    <row r="1408" ht="26.25" hidden="1" customHeight="1" spans="1:14">
      <c r="A1408" s="202"/>
      <c r="B1408" s="203"/>
      <c r="C1408" s="203" t="s">
        <v>526</v>
      </c>
      <c r="D1408" s="200">
        <f t="shared" si="665"/>
        <v>57.42198</v>
      </c>
      <c r="E1408" s="204">
        <f t="shared" si="666"/>
        <v>57.42198</v>
      </c>
      <c r="F1408" s="205">
        <v>57.42198</v>
      </c>
      <c r="G1408" s="205"/>
      <c r="H1408" s="205"/>
      <c r="I1408" s="204">
        <f t="shared" si="667"/>
        <v>0</v>
      </c>
      <c r="J1408" s="212"/>
      <c r="K1408" s="205"/>
      <c r="L1408" s="205"/>
      <c r="M1408" s="213"/>
      <c r="N1408" s="176">
        <f t="shared" si="664"/>
        <v>57.42198</v>
      </c>
    </row>
    <row r="1409" ht="26.25" hidden="1" customHeight="1" spans="1:14">
      <c r="A1409" s="202"/>
      <c r="B1409" s="203"/>
      <c r="C1409" s="203" t="s">
        <v>526</v>
      </c>
      <c r="D1409" s="200">
        <f t="shared" si="665"/>
        <v>42.382578</v>
      </c>
      <c r="E1409" s="204">
        <f t="shared" si="666"/>
        <v>42.382578</v>
      </c>
      <c r="F1409" s="205">
        <v>42.382578</v>
      </c>
      <c r="G1409" s="205"/>
      <c r="H1409" s="205"/>
      <c r="I1409" s="204">
        <f t="shared" si="667"/>
        <v>0</v>
      </c>
      <c r="J1409" s="212"/>
      <c r="K1409" s="205"/>
      <c r="L1409" s="205"/>
      <c r="M1409" s="213"/>
      <c r="N1409" s="176">
        <f t="shared" si="664"/>
        <v>42.382578</v>
      </c>
    </row>
    <row r="1410" ht="26.25" hidden="1" customHeight="1" spans="1:14">
      <c r="A1410" s="202"/>
      <c r="B1410" s="203"/>
      <c r="C1410" s="203" t="s">
        <v>526</v>
      </c>
      <c r="D1410" s="200">
        <f t="shared" si="665"/>
        <v>68.110164</v>
      </c>
      <c r="E1410" s="204">
        <f t="shared" si="666"/>
        <v>68.110164</v>
      </c>
      <c r="F1410" s="205">
        <v>68.110164</v>
      </c>
      <c r="G1410" s="205"/>
      <c r="H1410" s="205"/>
      <c r="I1410" s="204">
        <f t="shared" si="667"/>
        <v>0</v>
      </c>
      <c r="J1410" s="212"/>
      <c r="K1410" s="205"/>
      <c r="L1410" s="205"/>
      <c r="M1410" s="213"/>
      <c r="N1410" s="176">
        <f t="shared" si="664"/>
        <v>68.110164</v>
      </c>
    </row>
    <row r="1411" ht="26.25" hidden="1" customHeight="1" spans="1:14">
      <c r="A1411" s="202"/>
      <c r="B1411" s="203"/>
      <c r="C1411" s="203" t="s">
        <v>526</v>
      </c>
      <c r="D1411" s="200">
        <f t="shared" ref="D1411:D1474" si="668">E1411+I1411</f>
        <v>102.792468</v>
      </c>
      <c r="E1411" s="204">
        <f t="shared" ref="E1411:E1474" si="669">SUM(F1411:H1411)</f>
        <v>102.792468</v>
      </c>
      <c r="F1411" s="205">
        <v>102.792468</v>
      </c>
      <c r="G1411" s="205"/>
      <c r="H1411" s="205"/>
      <c r="I1411" s="204">
        <f t="shared" ref="I1411:I1474" si="670">SUM(J1411:L1411)</f>
        <v>0</v>
      </c>
      <c r="J1411" s="212"/>
      <c r="K1411" s="205"/>
      <c r="L1411" s="205"/>
      <c r="M1411" s="213"/>
      <c r="N1411" s="176">
        <f t="shared" si="664"/>
        <v>102.792468</v>
      </c>
    </row>
    <row r="1412" ht="26.25" hidden="1" customHeight="1" spans="1:14">
      <c r="A1412" s="202"/>
      <c r="B1412" s="203"/>
      <c r="C1412" s="203" t="s">
        <v>526</v>
      </c>
      <c r="D1412" s="200">
        <f t="shared" si="668"/>
        <v>102.231024</v>
      </c>
      <c r="E1412" s="204">
        <f t="shared" si="669"/>
        <v>102.231024</v>
      </c>
      <c r="F1412" s="205">
        <v>102.231024</v>
      </c>
      <c r="G1412" s="205"/>
      <c r="H1412" s="205"/>
      <c r="I1412" s="204">
        <f t="shared" si="670"/>
        <v>0</v>
      </c>
      <c r="J1412" s="212"/>
      <c r="K1412" s="205"/>
      <c r="L1412" s="205"/>
      <c r="M1412" s="213"/>
      <c r="N1412" s="176">
        <f t="shared" ref="N1412:N1475" si="671">J1412+E1412</f>
        <v>102.231024</v>
      </c>
    </row>
    <row r="1413" ht="26.25" hidden="1" customHeight="1" spans="1:14">
      <c r="A1413" s="202"/>
      <c r="B1413" s="203"/>
      <c r="C1413" s="203" t="s">
        <v>526</v>
      </c>
      <c r="D1413" s="200">
        <f t="shared" si="668"/>
        <v>130.096668</v>
      </c>
      <c r="E1413" s="204">
        <f t="shared" si="669"/>
        <v>130.096668</v>
      </c>
      <c r="F1413" s="205">
        <v>130.096668</v>
      </c>
      <c r="G1413" s="205"/>
      <c r="H1413" s="205"/>
      <c r="I1413" s="204">
        <f t="shared" si="670"/>
        <v>0</v>
      </c>
      <c r="J1413" s="212"/>
      <c r="K1413" s="205"/>
      <c r="L1413" s="205"/>
      <c r="M1413" s="213"/>
      <c r="N1413" s="176">
        <f t="shared" si="671"/>
        <v>130.096668</v>
      </c>
    </row>
    <row r="1414" ht="26.25" hidden="1" customHeight="1" spans="1:14">
      <c r="A1414" s="202"/>
      <c r="B1414" s="203"/>
      <c r="C1414" s="203" t="s">
        <v>526</v>
      </c>
      <c r="D1414" s="200">
        <f t="shared" si="668"/>
        <v>67.439484</v>
      </c>
      <c r="E1414" s="204">
        <f t="shared" si="669"/>
        <v>67.439484</v>
      </c>
      <c r="F1414" s="205">
        <v>67.439484</v>
      </c>
      <c r="G1414" s="205"/>
      <c r="H1414" s="205"/>
      <c r="I1414" s="204">
        <f t="shared" si="670"/>
        <v>0</v>
      </c>
      <c r="J1414" s="212"/>
      <c r="K1414" s="205"/>
      <c r="L1414" s="205"/>
      <c r="M1414" s="213"/>
      <c r="N1414" s="176">
        <f t="shared" si="671"/>
        <v>67.439484</v>
      </c>
    </row>
    <row r="1415" ht="26.25" hidden="1" customHeight="1" spans="1:14">
      <c r="A1415" s="202"/>
      <c r="B1415" s="203"/>
      <c r="C1415" s="203" t="s">
        <v>526</v>
      </c>
      <c r="D1415" s="200">
        <f t="shared" si="668"/>
        <v>131.991804</v>
      </c>
      <c r="E1415" s="204">
        <f t="shared" si="669"/>
        <v>131.991804</v>
      </c>
      <c r="F1415" s="205">
        <v>131.991804</v>
      </c>
      <c r="G1415" s="205"/>
      <c r="H1415" s="205"/>
      <c r="I1415" s="204">
        <f t="shared" si="670"/>
        <v>0</v>
      </c>
      <c r="J1415" s="212"/>
      <c r="K1415" s="205"/>
      <c r="L1415" s="205"/>
      <c r="M1415" s="213"/>
      <c r="N1415" s="176">
        <f t="shared" si="671"/>
        <v>131.991804</v>
      </c>
    </row>
    <row r="1416" ht="26.25" hidden="1" customHeight="1" spans="1:14">
      <c r="A1416" s="202"/>
      <c r="B1416" s="203"/>
      <c r="C1416" s="203" t="s">
        <v>526</v>
      </c>
      <c r="D1416" s="200">
        <f t="shared" si="668"/>
        <v>127.614168</v>
      </c>
      <c r="E1416" s="204">
        <f t="shared" si="669"/>
        <v>127.614168</v>
      </c>
      <c r="F1416" s="205">
        <v>127.614168</v>
      </c>
      <c r="G1416" s="205"/>
      <c r="H1416" s="205"/>
      <c r="I1416" s="204">
        <f t="shared" si="670"/>
        <v>0</v>
      </c>
      <c r="J1416" s="212"/>
      <c r="K1416" s="205"/>
      <c r="L1416" s="205"/>
      <c r="M1416" s="213"/>
      <c r="N1416" s="176">
        <f t="shared" si="671"/>
        <v>127.614168</v>
      </c>
    </row>
    <row r="1417" ht="26.25" hidden="1" customHeight="1" spans="1:14">
      <c r="A1417" s="202"/>
      <c r="B1417" s="203"/>
      <c r="C1417" s="203" t="s">
        <v>526</v>
      </c>
      <c r="D1417" s="200">
        <f t="shared" si="668"/>
        <v>88.541105</v>
      </c>
      <c r="E1417" s="204">
        <f t="shared" si="669"/>
        <v>88.541105</v>
      </c>
      <c r="F1417" s="205">
        <v>88.541105</v>
      </c>
      <c r="G1417" s="205"/>
      <c r="H1417" s="205"/>
      <c r="I1417" s="204">
        <f t="shared" si="670"/>
        <v>0</v>
      </c>
      <c r="J1417" s="212"/>
      <c r="K1417" s="205"/>
      <c r="L1417" s="205"/>
      <c r="M1417" s="213"/>
      <c r="N1417" s="176">
        <f t="shared" si="671"/>
        <v>88.541105</v>
      </c>
    </row>
    <row r="1418" ht="26.25" hidden="1" customHeight="1" spans="1:14">
      <c r="A1418" s="202"/>
      <c r="B1418" s="203"/>
      <c r="C1418" s="203" t="s">
        <v>526</v>
      </c>
      <c r="D1418" s="200">
        <f t="shared" si="668"/>
        <v>222.699974</v>
      </c>
      <c r="E1418" s="204">
        <f t="shared" si="669"/>
        <v>222.699974</v>
      </c>
      <c r="F1418" s="205">
        <v>222.699974</v>
      </c>
      <c r="G1418" s="205"/>
      <c r="H1418" s="205"/>
      <c r="I1418" s="204">
        <f t="shared" si="670"/>
        <v>0</v>
      </c>
      <c r="J1418" s="212"/>
      <c r="K1418" s="205"/>
      <c r="L1418" s="205"/>
      <c r="M1418" s="213"/>
      <c r="N1418" s="176">
        <f t="shared" si="671"/>
        <v>222.699974</v>
      </c>
    </row>
    <row r="1419" ht="26.25" hidden="1" customHeight="1" spans="1:14">
      <c r="A1419" s="202"/>
      <c r="B1419" s="203"/>
      <c r="C1419" s="203" t="s">
        <v>526</v>
      </c>
      <c r="D1419" s="200">
        <f t="shared" si="668"/>
        <v>239.765652</v>
      </c>
      <c r="E1419" s="204">
        <f t="shared" si="669"/>
        <v>239.765652</v>
      </c>
      <c r="F1419" s="205">
        <v>239.765652</v>
      </c>
      <c r="G1419" s="205"/>
      <c r="H1419" s="205"/>
      <c r="I1419" s="204">
        <f t="shared" si="670"/>
        <v>0</v>
      </c>
      <c r="J1419" s="212"/>
      <c r="K1419" s="205"/>
      <c r="L1419" s="205"/>
      <c r="M1419" s="213"/>
      <c r="N1419" s="176">
        <f t="shared" si="671"/>
        <v>239.765652</v>
      </c>
    </row>
    <row r="1420" ht="26.25" hidden="1" customHeight="1" spans="1:14">
      <c r="A1420" s="202"/>
      <c r="B1420" s="203"/>
      <c r="C1420" s="203" t="s">
        <v>526</v>
      </c>
      <c r="D1420" s="200">
        <f t="shared" si="668"/>
        <v>170.825174</v>
      </c>
      <c r="E1420" s="204">
        <f t="shared" si="669"/>
        <v>170.825174</v>
      </c>
      <c r="F1420" s="205">
        <v>170.825174</v>
      </c>
      <c r="G1420" s="205"/>
      <c r="H1420" s="205"/>
      <c r="I1420" s="204">
        <f t="shared" si="670"/>
        <v>0</v>
      </c>
      <c r="J1420" s="212"/>
      <c r="K1420" s="205"/>
      <c r="L1420" s="205"/>
      <c r="M1420" s="213"/>
      <c r="N1420" s="176">
        <f t="shared" si="671"/>
        <v>170.825174</v>
      </c>
    </row>
    <row r="1421" ht="26.25" hidden="1" customHeight="1" spans="1:14">
      <c r="A1421" s="202"/>
      <c r="B1421" s="203"/>
      <c r="C1421" s="203" t="s">
        <v>526</v>
      </c>
      <c r="D1421" s="200">
        <f t="shared" si="668"/>
        <v>5.04264</v>
      </c>
      <c r="E1421" s="204">
        <f t="shared" si="669"/>
        <v>5.04264</v>
      </c>
      <c r="F1421" s="205"/>
      <c r="G1421" s="205"/>
      <c r="H1421" s="205">
        <v>5.04264</v>
      </c>
      <c r="I1421" s="204">
        <f t="shared" si="670"/>
        <v>0</v>
      </c>
      <c r="J1421" s="212"/>
      <c r="K1421" s="205"/>
      <c r="L1421" s="205"/>
      <c r="M1421" s="213"/>
      <c r="N1421" s="176">
        <f t="shared" si="671"/>
        <v>5.04264</v>
      </c>
    </row>
    <row r="1422" ht="26.25" hidden="1" customHeight="1" spans="1:14">
      <c r="A1422" s="202"/>
      <c r="B1422" s="203"/>
      <c r="C1422" s="203" t="s">
        <v>526</v>
      </c>
      <c r="D1422" s="200">
        <f t="shared" si="668"/>
        <v>109.159992</v>
      </c>
      <c r="E1422" s="204">
        <f t="shared" si="669"/>
        <v>109.159992</v>
      </c>
      <c r="F1422" s="205">
        <v>109.159992</v>
      </c>
      <c r="G1422" s="205"/>
      <c r="H1422" s="205"/>
      <c r="I1422" s="204">
        <f t="shared" si="670"/>
        <v>0</v>
      </c>
      <c r="J1422" s="212"/>
      <c r="K1422" s="205"/>
      <c r="L1422" s="205"/>
      <c r="M1422" s="213"/>
      <c r="N1422" s="176">
        <f t="shared" si="671"/>
        <v>109.159992</v>
      </c>
    </row>
    <row r="1423" ht="26.25" hidden="1" customHeight="1" spans="1:14">
      <c r="A1423" s="202"/>
      <c r="B1423" s="203"/>
      <c r="C1423" s="203" t="s">
        <v>526</v>
      </c>
      <c r="D1423" s="200">
        <f t="shared" si="668"/>
        <v>132.316498</v>
      </c>
      <c r="E1423" s="204">
        <f t="shared" si="669"/>
        <v>132.316498</v>
      </c>
      <c r="F1423" s="205">
        <v>132.316498</v>
      </c>
      <c r="G1423" s="205"/>
      <c r="H1423" s="205"/>
      <c r="I1423" s="204">
        <f t="shared" si="670"/>
        <v>0</v>
      </c>
      <c r="J1423" s="212"/>
      <c r="K1423" s="205"/>
      <c r="L1423" s="205"/>
      <c r="M1423" s="213"/>
      <c r="N1423" s="176">
        <f t="shared" si="671"/>
        <v>132.316498</v>
      </c>
    </row>
    <row r="1424" ht="26.25" hidden="1" customHeight="1" spans="1:14">
      <c r="A1424" s="202"/>
      <c r="B1424" s="203"/>
      <c r="C1424" s="203" t="s">
        <v>526</v>
      </c>
      <c r="D1424" s="200">
        <f t="shared" si="668"/>
        <v>74.334324</v>
      </c>
      <c r="E1424" s="204">
        <f t="shared" si="669"/>
        <v>74.334324</v>
      </c>
      <c r="F1424" s="205">
        <v>74.334324</v>
      </c>
      <c r="G1424" s="205"/>
      <c r="H1424" s="205"/>
      <c r="I1424" s="204">
        <f t="shared" si="670"/>
        <v>0</v>
      </c>
      <c r="J1424" s="212"/>
      <c r="K1424" s="205"/>
      <c r="L1424" s="205"/>
      <c r="M1424" s="213"/>
      <c r="N1424" s="176">
        <f t="shared" si="671"/>
        <v>74.334324</v>
      </c>
    </row>
    <row r="1425" ht="26.25" hidden="1" customHeight="1" spans="1:14">
      <c r="A1425" s="202"/>
      <c r="B1425" s="203"/>
      <c r="C1425" s="203" t="s">
        <v>526</v>
      </c>
      <c r="D1425" s="200">
        <f t="shared" si="668"/>
        <v>46.799232</v>
      </c>
      <c r="E1425" s="204">
        <f t="shared" si="669"/>
        <v>46.799232</v>
      </c>
      <c r="F1425" s="205">
        <v>46.799232</v>
      </c>
      <c r="G1425" s="205"/>
      <c r="H1425" s="205"/>
      <c r="I1425" s="204">
        <f t="shared" si="670"/>
        <v>0</v>
      </c>
      <c r="J1425" s="212"/>
      <c r="K1425" s="205"/>
      <c r="L1425" s="205"/>
      <c r="M1425" s="213"/>
      <c r="N1425" s="176">
        <f t="shared" si="671"/>
        <v>46.799232</v>
      </c>
    </row>
    <row r="1426" ht="26.25" hidden="1" customHeight="1" spans="1:14">
      <c r="A1426" s="202"/>
      <c r="B1426" s="203"/>
      <c r="C1426" s="203" t="s">
        <v>526</v>
      </c>
      <c r="D1426" s="200">
        <f t="shared" si="668"/>
        <v>71.65494</v>
      </c>
      <c r="E1426" s="204">
        <f t="shared" si="669"/>
        <v>71.65494</v>
      </c>
      <c r="F1426" s="205">
        <v>71.65494</v>
      </c>
      <c r="G1426" s="205"/>
      <c r="H1426" s="205"/>
      <c r="I1426" s="204">
        <f t="shared" si="670"/>
        <v>0</v>
      </c>
      <c r="J1426" s="212"/>
      <c r="K1426" s="205"/>
      <c r="L1426" s="205"/>
      <c r="M1426" s="213"/>
      <c r="N1426" s="176">
        <f t="shared" si="671"/>
        <v>71.65494</v>
      </c>
    </row>
    <row r="1427" ht="26.25" hidden="1" customHeight="1" spans="1:14">
      <c r="A1427" s="202"/>
      <c r="B1427" s="203"/>
      <c r="C1427" s="203" t="s">
        <v>526</v>
      </c>
      <c r="D1427" s="200">
        <f t="shared" si="668"/>
        <v>31.993238</v>
      </c>
      <c r="E1427" s="204">
        <f t="shared" si="669"/>
        <v>31.993238</v>
      </c>
      <c r="F1427" s="205">
        <v>31.993238</v>
      </c>
      <c r="G1427" s="205"/>
      <c r="H1427" s="205"/>
      <c r="I1427" s="204">
        <f t="shared" si="670"/>
        <v>0</v>
      </c>
      <c r="J1427" s="212"/>
      <c r="K1427" s="205"/>
      <c r="L1427" s="205"/>
      <c r="M1427" s="213"/>
      <c r="N1427" s="176">
        <f t="shared" si="671"/>
        <v>31.993238</v>
      </c>
    </row>
    <row r="1428" ht="26.25" hidden="1" customHeight="1" spans="1:14">
      <c r="A1428" s="202"/>
      <c r="B1428" s="203"/>
      <c r="C1428" s="203" t="s">
        <v>526</v>
      </c>
      <c r="D1428" s="200">
        <f t="shared" si="668"/>
        <v>74.528916</v>
      </c>
      <c r="E1428" s="204">
        <f t="shared" si="669"/>
        <v>74.528916</v>
      </c>
      <c r="F1428" s="205">
        <v>74.528916</v>
      </c>
      <c r="G1428" s="205"/>
      <c r="H1428" s="205"/>
      <c r="I1428" s="204">
        <f t="shared" si="670"/>
        <v>0</v>
      </c>
      <c r="J1428" s="212"/>
      <c r="K1428" s="205"/>
      <c r="L1428" s="205"/>
      <c r="M1428" s="213"/>
      <c r="N1428" s="176">
        <f t="shared" si="671"/>
        <v>74.528916</v>
      </c>
    </row>
    <row r="1429" ht="26.25" hidden="1" customHeight="1" spans="1:14">
      <c r="A1429" s="202"/>
      <c r="B1429" s="203"/>
      <c r="C1429" s="203" t="s">
        <v>526</v>
      </c>
      <c r="D1429" s="200">
        <f t="shared" si="668"/>
        <v>41.309976</v>
      </c>
      <c r="E1429" s="204">
        <f t="shared" si="669"/>
        <v>41.309976</v>
      </c>
      <c r="F1429" s="205">
        <v>41.309976</v>
      </c>
      <c r="G1429" s="205"/>
      <c r="H1429" s="205"/>
      <c r="I1429" s="204">
        <f t="shared" si="670"/>
        <v>0</v>
      </c>
      <c r="J1429" s="212"/>
      <c r="K1429" s="205"/>
      <c r="L1429" s="205"/>
      <c r="M1429" s="213"/>
      <c r="N1429" s="176">
        <f t="shared" si="671"/>
        <v>41.309976</v>
      </c>
    </row>
    <row r="1430" ht="26.25" hidden="1" customHeight="1" spans="1:14">
      <c r="A1430" s="202"/>
      <c r="B1430" s="203"/>
      <c r="C1430" s="203" t="s">
        <v>526</v>
      </c>
      <c r="D1430" s="200">
        <f t="shared" si="668"/>
        <v>56.547324</v>
      </c>
      <c r="E1430" s="204">
        <f t="shared" si="669"/>
        <v>56.547324</v>
      </c>
      <c r="F1430" s="205">
        <v>56.547324</v>
      </c>
      <c r="G1430" s="205"/>
      <c r="H1430" s="205"/>
      <c r="I1430" s="204">
        <f t="shared" si="670"/>
        <v>0</v>
      </c>
      <c r="J1430" s="212"/>
      <c r="K1430" s="205"/>
      <c r="L1430" s="205"/>
      <c r="M1430" s="213"/>
      <c r="N1430" s="176">
        <f t="shared" si="671"/>
        <v>56.547324</v>
      </c>
    </row>
    <row r="1431" ht="26.25" hidden="1" customHeight="1" spans="1:14">
      <c r="A1431" s="202"/>
      <c r="B1431" s="203"/>
      <c r="C1431" s="203" t="s">
        <v>526</v>
      </c>
      <c r="D1431" s="200">
        <f t="shared" si="668"/>
        <v>96.142956</v>
      </c>
      <c r="E1431" s="204">
        <f t="shared" si="669"/>
        <v>96.142956</v>
      </c>
      <c r="F1431" s="205">
        <v>96.142956</v>
      </c>
      <c r="G1431" s="205"/>
      <c r="H1431" s="205"/>
      <c r="I1431" s="204">
        <f t="shared" si="670"/>
        <v>0</v>
      </c>
      <c r="J1431" s="212"/>
      <c r="K1431" s="205"/>
      <c r="L1431" s="205"/>
      <c r="M1431" s="213"/>
      <c r="N1431" s="176">
        <f t="shared" si="671"/>
        <v>96.142956</v>
      </c>
    </row>
    <row r="1432" ht="26.25" hidden="1" customHeight="1" spans="1:14">
      <c r="A1432" s="202"/>
      <c r="B1432" s="203"/>
      <c r="C1432" s="203" t="s">
        <v>526</v>
      </c>
      <c r="D1432" s="200">
        <f t="shared" si="668"/>
        <v>91.523136</v>
      </c>
      <c r="E1432" s="204">
        <f t="shared" si="669"/>
        <v>91.523136</v>
      </c>
      <c r="F1432" s="205">
        <v>91.523136</v>
      </c>
      <c r="G1432" s="205"/>
      <c r="H1432" s="205"/>
      <c r="I1432" s="204">
        <f t="shared" si="670"/>
        <v>0</v>
      </c>
      <c r="J1432" s="212"/>
      <c r="K1432" s="205"/>
      <c r="L1432" s="205"/>
      <c r="M1432" s="213"/>
      <c r="N1432" s="176">
        <f t="shared" si="671"/>
        <v>91.523136</v>
      </c>
    </row>
    <row r="1433" ht="26.25" hidden="1" customHeight="1" spans="1:14">
      <c r="A1433" s="202"/>
      <c r="B1433" s="203"/>
      <c r="C1433" s="203" t="s">
        <v>526</v>
      </c>
      <c r="D1433" s="200">
        <f t="shared" si="668"/>
        <v>76.589772</v>
      </c>
      <c r="E1433" s="204">
        <f t="shared" si="669"/>
        <v>76.589772</v>
      </c>
      <c r="F1433" s="205">
        <v>76.589772</v>
      </c>
      <c r="G1433" s="205"/>
      <c r="H1433" s="205"/>
      <c r="I1433" s="204">
        <f t="shared" si="670"/>
        <v>0</v>
      </c>
      <c r="J1433" s="212"/>
      <c r="K1433" s="205"/>
      <c r="L1433" s="205"/>
      <c r="M1433" s="213"/>
      <c r="N1433" s="176">
        <f t="shared" si="671"/>
        <v>76.589772</v>
      </c>
    </row>
    <row r="1434" ht="26.25" hidden="1" customHeight="1" spans="1:14">
      <c r="A1434" s="202"/>
      <c r="B1434" s="203"/>
      <c r="C1434" s="203" t="s">
        <v>526</v>
      </c>
      <c r="D1434" s="200">
        <f t="shared" si="668"/>
        <v>307.874844</v>
      </c>
      <c r="E1434" s="204">
        <f t="shared" si="669"/>
        <v>307.874844</v>
      </c>
      <c r="F1434" s="205">
        <v>307.874844</v>
      </c>
      <c r="G1434" s="205"/>
      <c r="H1434" s="205"/>
      <c r="I1434" s="204">
        <f t="shared" si="670"/>
        <v>0</v>
      </c>
      <c r="J1434" s="212"/>
      <c r="K1434" s="205"/>
      <c r="L1434" s="205"/>
      <c r="M1434" s="213"/>
      <c r="N1434" s="176">
        <f t="shared" si="671"/>
        <v>307.874844</v>
      </c>
    </row>
    <row r="1435" ht="26.25" hidden="1" customHeight="1" spans="1:14">
      <c r="A1435" s="202"/>
      <c r="B1435" s="203"/>
      <c r="C1435" s="203" t="s">
        <v>526</v>
      </c>
      <c r="D1435" s="200">
        <f t="shared" si="668"/>
        <v>139.03199</v>
      </c>
      <c r="E1435" s="204">
        <f t="shared" si="669"/>
        <v>139.03199</v>
      </c>
      <c r="F1435" s="205">
        <v>139.03199</v>
      </c>
      <c r="G1435" s="205"/>
      <c r="H1435" s="205"/>
      <c r="I1435" s="204">
        <f t="shared" si="670"/>
        <v>0</v>
      </c>
      <c r="J1435" s="212"/>
      <c r="K1435" s="205"/>
      <c r="L1435" s="205"/>
      <c r="M1435" s="213"/>
      <c r="N1435" s="176">
        <f t="shared" si="671"/>
        <v>139.03199</v>
      </c>
    </row>
    <row r="1436" ht="26.25" hidden="1" customHeight="1" spans="1:14">
      <c r="A1436" s="202"/>
      <c r="B1436" s="203"/>
      <c r="C1436" s="203" t="s">
        <v>526</v>
      </c>
      <c r="D1436" s="200">
        <f t="shared" si="668"/>
        <v>57.845393</v>
      </c>
      <c r="E1436" s="204">
        <f t="shared" si="669"/>
        <v>57.845393</v>
      </c>
      <c r="F1436" s="205">
        <v>57.845393</v>
      </c>
      <c r="G1436" s="205"/>
      <c r="H1436" s="205"/>
      <c r="I1436" s="204">
        <f t="shared" si="670"/>
        <v>0</v>
      </c>
      <c r="J1436" s="212"/>
      <c r="K1436" s="205"/>
      <c r="L1436" s="205"/>
      <c r="M1436" s="213"/>
      <c r="N1436" s="176">
        <f t="shared" si="671"/>
        <v>57.845393</v>
      </c>
    </row>
    <row r="1437" ht="26.25" hidden="1" customHeight="1" spans="1:14">
      <c r="A1437" s="202"/>
      <c r="B1437" s="203"/>
      <c r="C1437" s="203" t="s">
        <v>526</v>
      </c>
      <c r="D1437" s="200">
        <f t="shared" si="668"/>
        <v>32.67138</v>
      </c>
      <c r="E1437" s="204">
        <f t="shared" si="669"/>
        <v>32.67138</v>
      </c>
      <c r="F1437" s="205">
        <v>32.67138</v>
      </c>
      <c r="G1437" s="205"/>
      <c r="H1437" s="205"/>
      <c r="I1437" s="204">
        <f t="shared" si="670"/>
        <v>0</v>
      </c>
      <c r="J1437" s="212"/>
      <c r="K1437" s="205"/>
      <c r="L1437" s="205"/>
      <c r="M1437" s="213"/>
      <c r="N1437" s="176">
        <f t="shared" si="671"/>
        <v>32.67138</v>
      </c>
    </row>
    <row r="1438" ht="26.25" hidden="1" customHeight="1" spans="1:14">
      <c r="A1438" s="202"/>
      <c r="B1438" s="203"/>
      <c r="C1438" s="203" t="s">
        <v>527</v>
      </c>
      <c r="D1438" s="200">
        <f t="shared" si="668"/>
        <v>23.485704</v>
      </c>
      <c r="E1438" s="204">
        <f t="shared" si="669"/>
        <v>23.485704</v>
      </c>
      <c r="F1438" s="205">
        <v>23.485704</v>
      </c>
      <c r="G1438" s="205"/>
      <c r="H1438" s="205"/>
      <c r="I1438" s="204">
        <f t="shared" si="670"/>
        <v>0</v>
      </c>
      <c r="J1438" s="212"/>
      <c r="K1438" s="205"/>
      <c r="L1438" s="205"/>
      <c r="M1438" s="213"/>
      <c r="N1438" s="176">
        <f t="shared" si="671"/>
        <v>23.485704</v>
      </c>
    </row>
    <row r="1439" ht="26.25" hidden="1" customHeight="1" spans="1:14">
      <c r="A1439" s="202"/>
      <c r="B1439" s="203"/>
      <c r="C1439" s="203" t="s">
        <v>527</v>
      </c>
      <c r="D1439" s="200">
        <f t="shared" si="668"/>
        <v>8.118816</v>
      </c>
      <c r="E1439" s="204">
        <f t="shared" si="669"/>
        <v>8.118816</v>
      </c>
      <c r="F1439" s="205">
        <v>8.118816</v>
      </c>
      <c r="G1439" s="205"/>
      <c r="H1439" s="205"/>
      <c r="I1439" s="204">
        <f t="shared" si="670"/>
        <v>0</v>
      </c>
      <c r="J1439" s="212"/>
      <c r="K1439" s="205"/>
      <c r="L1439" s="205"/>
      <c r="M1439" s="213"/>
      <c r="N1439" s="176">
        <f t="shared" si="671"/>
        <v>8.118816</v>
      </c>
    </row>
    <row r="1440" ht="26.25" hidden="1" customHeight="1" spans="1:14">
      <c r="A1440" s="202"/>
      <c r="B1440" s="203"/>
      <c r="C1440" s="203" t="s">
        <v>527</v>
      </c>
      <c r="D1440" s="200">
        <f t="shared" si="668"/>
        <v>21.030432</v>
      </c>
      <c r="E1440" s="204">
        <f t="shared" si="669"/>
        <v>21.030432</v>
      </c>
      <c r="F1440" s="205">
        <v>21.030432</v>
      </c>
      <c r="G1440" s="205"/>
      <c r="H1440" s="205"/>
      <c r="I1440" s="204">
        <f t="shared" si="670"/>
        <v>0</v>
      </c>
      <c r="J1440" s="212"/>
      <c r="K1440" s="205"/>
      <c r="L1440" s="205"/>
      <c r="M1440" s="213"/>
      <c r="N1440" s="176">
        <f t="shared" si="671"/>
        <v>21.030432</v>
      </c>
    </row>
    <row r="1441" ht="26.25" hidden="1" customHeight="1" spans="1:14">
      <c r="A1441" s="202"/>
      <c r="B1441" s="203"/>
      <c r="C1441" s="203" t="s">
        <v>527</v>
      </c>
      <c r="D1441" s="200">
        <f t="shared" si="668"/>
        <v>8.185632</v>
      </c>
      <c r="E1441" s="204">
        <f t="shared" si="669"/>
        <v>8.185632</v>
      </c>
      <c r="F1441" s="205">
        <v>8.185632</v>
      </c>
      <c r="G1441" s="205"/>
      <c r="H1441" s="205"/>
      <c r="I1441" s="204">
        <f t="shared" si="670"/>
        <v>0</v>
      </c>
      <c r="J1441" s="212"/>
      <c r="K1441" s="205"/>
      <c r="L1441" s="205"/>
      <c r="M1441" s="213"/>
      <c r="N1441" s="176">
        <f t="shared" si="671"/>
        <v>8.185632</v>
      </c>
    </row>
    <row r="1442" ht="26.25" hidden="1" customHeight="1" spans="1:14">
      <c r="A1442" s="202"/>
      <c r="B1442" s="203"/>
      <c r="C1442" s="203" t="s">
        <v>527</v>
      </c>
      <c r="D1442" s="200">
        <f t="shared" si="668"/>
        <v>9.316992</v>
      </c>
      <c r="E1442" s="204">
        <f t="shared" si="669"/>
        <v>9.316992</v>
      </c>
      <c r="F1442" s="205">
        <v>9.316992</v>
      </c>
      <c r="G1442" s="205"/>
      <c r="H1442" s="205"/>
      <c r="I1442" s="204">
        <f t="shared" si="670"/>
        <v>0</v>
      </c>
      <c r="J1442" s="212"/>
      <c r="K1442" s="205"/>
      <c r="L1442" s="205"/>
      <c r="M1442" s="213"/>
      <c r="N1442" s="176">
        <f t="shared" si="671"/>
        <v>9.316992</v>
      </c>
    </row>
    <row r="1443" ht="26.25" hidden="1" customHeight="1" spans="1:14">
      <c r="A1443" s="202"/>
      <c r="B1443" s="203"/>
      <c r="C1443" s="203" t="s">
        <v>528</v>
      </c>
      <c r="D1443" s="200">
        <f t="shared" si="668"/>
        <v>9.286488</v>
      </c>
      <c r="E1443" s="204">
        <f t="shared" si="669"/>
        <v>9.286488</v>
      </c>
      <c r="F1443" s="205">
        <v>9.286488</v>
      </c>
      <c r="G1443" s="205"/>
      <c r="H1443" s="205"/>
      <c r="I1443" s="204">
        <f t="shared" si="670"/>
        <v>0</v>
      </c>
      <c r="J1443" s="212"/>
      <c r="K1443" s="205"/>
      <c r="L1443" s="205"/>
      <c r="M1443" s="213"/>
      <c r="N1443" s="176">
        <f t="shared" si="671"/>
        <v>9.286488</v>
      </c>
    </row>
    <row r="1444" ht="26.25" hidden="1" customHeight="1" spans="1:14">
      <c r="A1444" s="202"/>
      <c r="B1444" s="203"/>
      <c r="C1444" s="203" t="s">
        <v>529</v>
      </c>
      <c r="D1444" s="200">
        <f t="shared" si="668"/>
        <v>26.731786</v>
      </c>
      <c r="E1444" s="204">
        <f t="shared" si="669"/>
        <v>26.731786</v>
      </c>
      <c r="F1444" s="205">
        <v>26.731786</v>
      </c>
      <c r="G1444" s="205"/>
      <c r="H1444" s="205"/>
      <c r="I1444" s="204">
        <f t="shared" si="670"/>
        <v>0</v>
      </c>
      <c r="J1444" s="212"/>
      <c r="K1444" s="205"/>
      <c r="L1444" s="205"/>
      <c r="M1444" s="213"/>
      <c r="N1444" s="176">
        <f t="shared" si="671"/>
        <v>26.731786</v>
      </c>
    </row>
    <row r="1445" ht="26.25" hidden="1" customHeight="1" spans="1:14">
      <c r="A1445" s="202"/>
      <c r="B1445" s="203"/>
      <c r="C1445" s="203" t="s">
        <v>530</v>
      </c>
      <c r="D1445" s="200">
        <f t="shared" si="668"/>
        <v>16.465894</v>
      </c>
      <c r="E1445" s="204">
        <f t="shared" si="669"/>
        <v>16.465894</v>
      </c>
      <c r="F1445" s="205">
        <v>16.465894</v>
      </c>
      <c r="G1445" s="205"/>
      <c r="H1445" s="205"/>
      <c r="I1445" s="204">
        <f t="shared" si="670"/>
        <v>0</v>
      </c>
      <c r="J1445" s="212"/>
      <c r="K1445" s="205"/>
      <c r="L1445" s="205"/>
      <c r="M1445" s="213"/>
      <c r="N1445" s="176">
        <f t="shared" si="671"/>
        <v>16.465894</v>
      </c>
    </row>
    <row r="1446" ht="26.25" hidden="1" customHeight="1" spans="1:14">
      <c r="A1446" s="202"/>
      <c r="B1446" s="203"/>
      <c r="C1446" s="203" t="s">
        <v>490</v>
      </c>
      <c r="D1446" s="200">
        <f t="shared" si="668"/>
        <v>7.570176</v>
      </c>
      <c r="E1446" s="204">
        <f t="shared" si="669"/>
        <v>7.570176</v>
      </c>
      <c r="F1446" s="205">
        <v>7.570176</v>
      </c>
      <c r="G1446" s="205"/>
      <c r="H1446" s="205"/>
      <c r="I1446" s="204">
        <f t="shared" si="670"/>
        <v>0</v>
      </c>
      <c r="J1446" s="212"/>
      <c r="K1446" s="205"/>
      <c r="L1446" s="205"/>
      <c r="M1446" s="213"/>
      <c r="N1446" s="176">
        <f t="shared" si="671"/>
        <v>7.570176</v>
      </c>
    </row>
    <row r="1447" ht="26.25" hidden="1" customHeight="1" spans="1:14">
      <c r="A1447" s="202"/>
      <c r="B1447" s="203"/>
      <c r="C1447" s="203" t="s">
        <v>474</v>
      </c>
      <c r="D1447" s="200">
        <f t="shared" si="668"/>
        <v>5.051244</v>
      </c>
      <c r="E1447" s="204">
        <f t="shared" si="669"/>
        <v>5.051244</v>
      </c>
      <c r="F1447" s="205">
        <v>5.051244</v>
      </c>
      <c r="G1447" s="205"/>
      <c r="H1447" s="205"/>
      <c r="I1447" s="204">
        <f t="shared" si="670"/>
        <v>0</v>
      </c>
      <c r="J1447" s="212"/>
      <c r="K1447" s="205"/>
      <c r="L1447" s="205"/>
      <c r="M1447" s="213"/>
      <c r="N1447" s="176">
        <f t="shared" si="671"/>
        <v>5.051244</v>
      </c>
    </row>
    <row r="1448" ht="26.25" hidden="1" customHeight="1" spans="1:14">
      <c r="A1448" s="202"/>
      <c r="B1448" s="203"/>
      <c r="C1448" s="203" t="s">
        <v>531</v>
      </c>
      <c r="D1448" s="200">
        <f t="shared" si="668"/>
        <v>4.700616</v>
      </c>
      <c r="E1448" s="204">
        <f t="shared" si="669"/>
        <v>4.700616</v>
      </c>
      <c r="F1448" s="205">
        <v>4.700616</v>
      </c>
      <c r="G1448" s="205"/>
      <c r="H1448" s="205"/>
      <c r="I1448" s="204">
        <f t="shared" si="670"/>
        <v>0</v>
      </c>
      <c r="J1448" s="212"/>
      <c r="K1448" s="205"/>
      <c r="L1448" s="205"/>
      <c r="M1448" s="213"/>
      <c r="N1448" s="176">
        <f t="shared" si="671"/>
        <v>4.700616</v>
      </c>
    </row>
    <row r="1449" ht="26.25" hidden="1" customHeight="1" spans="1:14">
      <c r="A1449" s="202"/>
      <c r="B1449" s="203"/>
      <c r="C1449" s="203" t="s">
        <v>532</v>
      </c>
      <c r="D1449" s="200">
        <f t="shared" si="668"/>
        <v>3.095568</v>
      </c>
      <c r="E1449" s="204">
        <f t="shared" si="669"/>
        <v>3.095568</v>
      </c>
      <c r="F1449" s="205">
        <v>3.095568</v>
      </c>
      <c r="G1449" s="205"/>
      <c r="H1449" s="205"/>
      <c r="I1449" s="204">
        <f t="shared" si="670"/>
        <v>0</v>
      </c>
      <c r="J1449" s="212"/>
      <c r="K1449" s="205"/>
      <c r="L1449" s="205"/>
      <c r="M1449" s="213"/>
      <c r="N1449" s="176">
        <f t="shared" si="671"/>
        <v>3.095568</v>
      </c>
    </row>
    <row r="1450" ht="26.25" hidden="1" customHeight="1" spans="1:14">
      <c r="A1450" s="202"/>
      <c r="B1450" s="203"/>
      <c r="C1450" s="203" t="s">
        <v>533</v>
      </c>
      <c r="D1450" s="200">
        <f t="shared" si="668"/>
        <v>6.673692</v>
      </c>
      <c r="E1450" s="204">
        <f t="shared" si="669"/>
        <v>6.673692</v>
      </c>
      <c r="F1450" s="205">
        <v>6.673692</v>
      </c>
      <c r="G1450" s="205"/>
      <c r="H1450" s="205"/>
      <c r="I1450" s="204">
        <f t="shared" si="670"/>
        <v>0</v>
      </c>
      <c r="J1450" s="212"/>
      <c r="K1450" s="205"/>
      <c r="L1450" s="205"/>
      <c r="M1450" s="213"/>
      <c r="N1450" s="176">
        <f t="shared" si="671"/>
        <v>6.673692</v>
      </c>
    </row>
    <row r="1451" ht="26.25" hidden="1" customHeight="1" spans="1:14">
      <c r="A1451" s="202"/>
      <c r="B1451" s="203"/>
      <c r="C1451" s="203" t="s">
        <v>534</v>
      </c>
      <c r="D1451" s="200">
        <f t="shared" si="668"/>
        <v>25.182948</v>
      </c>
      <c r="E1451" s="204">
        <f t="shared" si="669"/>
        <v>25.182948</v>
      </c>
      <c r="F1451" s="205">
        <v>25.182948</v>
      </c>
      <c r="G1451" s="205"/>
      <c r="H1451" s="205"/>
      <c r="I1451" s="204">
        <f t="shared" si="670"/>
        <v>0</v>
      </c>
      <c r="J1451" s="212"/>
      <c r="K1451" s="205"/>
      <c r="L1451" s="205"/>
      <c r="M1451" s="213"/>
      <c r="N1451" s="176">
        <f t="shared" si="671"/>
        <v>25.182948</v>
      </c>
    </row>
    <row r="1452" ht="26.25" hidden="1" customHeight="1" spans="1:14">
      <c r="A1452" s="202"/>
      <c r="B1452" s="203"/>
      <c r="C1452" s="203" t="s">
        <v>380</v>
      </c>
      <c r="D1452" s="200">
        <f t="shared" si="668"/>
        <v>52.007808</v>
      </c>
      <c r="E1452" s="204">
        <f t="shared" si="669"/>
        <v>52.007808</v>
      </c>
      <c r="F1452" s="205">
        <v>52.007808</v>
      </c>
      <c r="G1452" s="205"/>
      <c r="H1452" s="205"/>
      <c r="I1452" s="204">
        <f t="shared" si="670"/>
        <v>0</v>
      </c>
      <c r="J1452" s="212"/>
      <c r="K1452" s="205"/>
      <c r="L1452" s="205"/>
      <c r="M1452" s="213"/>
      <c r="N1452" s="176">
        <f t="shared" si="671"/>
        <v>52.007808</v>
      </c>
    </row>
    <row r="1453" ht="26.25" hidden="1" customHeight="1" spans="1:14">
      <c r="A1453" s="202"/>
      <c r="B1453" s="203"/>
      <c r="C1453" s="203" t="s">
        <v>535</v>
      </c>
      <c r="D1453" s="200">
        <f t="shared" si="668"/>
        <v>28.861896</v>
      </c>
      <c r="E1453" s="204">
        <f t="shared" si="669"/>
        <v>28.861896</v>
      </c>
      <c r="F1453" s="205">
        <v>28.861896</v>
      </c>
      <c r="G1453" s="205"/>
      <c r="H1453" s="205"/>
      <c r="I1453" s="204">
        <f t="shared" si="670"/>
        <v>0</v>
      </c>
      <c r="J1453" s="212"/>
      <c r="K1453" s="205"/>
      <c r="L1453" s="205"/>
      <c r="M1453" s="213"/>
      <c r="N1453" s="176">
        <f t="shared" si="671"/>
        <v>28.861896</v>
      </c>
    </row>
    <row r="1454" ht="31.05" hidden="1" customHeight="1" spans="1:14">
      <c r="A1454" s="202"/>
      <c r="B1454" s="203"/>
      <c r="C1454" s="203" t="s">
        <v>536</v>
      </c>
      <c r="D1454" s="200">
        <f t="shared" si="668"/>
        <v>7.452864</v>
      </c>
      <c r="E1454" s="204">
        <f t="shared" si="669"/>
        <v>7.452864</v>
      </c>
      <c r="F1454" s="205">
        <v>7.452864</v>
      </c>
      <c r="G1454" s="205"/>
      <c r="H1454" s="205"/>
      <c r="I1454" s="204">
        <f t="shared" si="670"/>
        <v>0</v>
      </c>
      <c r="J1454" s="212"/>
      <c r="K1454" s="205"/>
      <c r="L1454" s="205"/>
      <c r="M1454" s="213"/>
      <c r="N1454" s="176">
        <f t="shared" si="671"/>
        <v>7.452864</v>
      </c>
    </row>
    <row r="1455" ht="26.25" hidden="1" customHeight="1" spans="1:14">
      <c r="A1455" s="202"/>
      <c r="B1455" s="203"/>
      <c r="C1455" s="203" t="s">
        <v>537</v>
      </c>
      <c r="D1455" s="200">
        <f t="shared" si="668"/>
        <v>14.944224</v>
      </c>
      <c r="E1455" s="204">
        <f t="shared" si="669"/>
        <v>14.944224</v>
      </c>
      <c r="F1455" s="205">
        <v>14.944224</v>
      </c>
      <c r="G1455" s="205"/>
      <c r="H1455" s="205"/>
      <c r="I1455" s="204">
        <f t="shared" si="670"/>
        <v>0</v>
      </c>
      <c r="J1455" s="212"/>
      <c r="K1455" s="205"/>
      <c r="L1455" s="205"/>
      <c r="M1455" s="213"/>
      <c r="N1455" s="176">
        <f t="shared" si="671"/>
        <v>14.944224</v>
      </c>
    </row>
    <row r="1456" ht="26.25" hidden="1" customHeight="1" spans="1:14">
      <c r="A1456" s="202"/>
      <c r="B1456" s="203"/>
      <c r="C1456" s="203" t="s">
        <v>538</v>
      </c>
      <c r="D1456" s="200">
        <f t="shared" si="668"/>
        <v>5.363232</v>
      </c>
      <c r="E1456" s="204">
        <f t="shared" si="669"/>
        <v>5.363232</v>
      </c>
      <c r="F1456" s="205">
        <v>5.363232</v>
      </c>
      <c r="G1456" s="205"/>
      <c r="H1456" s="205"/>
      <c r="I1456" s="204">
        <f t="shared" si="670"/>
        <v>0</v>
      </c>
      <c r="J1456" s="212"/>
      <c r="K1456" s="205"/>
      <c r="L1456" s="205"/>
      <c r="M1456" s="213"/>
      <c r="N1456" s="176">
        <f t="shared" si="671"/>
        <v>5.363232</v>
      </c>
    </row>
    <row r="1457" ht="26.25" hidden="1" customHeight="1" spans="1:14">
      <c r="A1457" s="202"/>
      <c r="B1457" s="203"/>
      <c r="C1457" s="203" t="s">
        <v>538</v>
      </c>
      <c r="D1457" s="200">
        <f t="shared" si="668"/>
        <v>3.454704</v>
      </c>
      <c r="E1457" s="204">
        <f t="shared" si="669"/>
        <v>3.454704</v>
      </c>
      <c r="F1457" s="205">
        <v>3.454704</v>
      </c>
      <c r="G1457" s="205"/>
      <c r="H1457" s="205"/>
      <c r="I1457" s="204">
        <f t="shared" si="670"/>
        <v>0</v>
      </c>
      <c r="J1457" s="212"/>
      <c r="K1457" s="205"/>
      <c r="L1457" s="205"/>
      <c r="M1457" s="213"/>
      <c r="N1457" s="176">
        <f t="shared" si="671"/>
        <v>3.454704</v>
      </c>
    </row>
    <row r="1458" ht="26.25" hidden="1" customHeight="1" spans="1:14">
      <c r="A1458" s="202"/>
      <c r="B1458" s="203"/>
      <c r="C1458" s="203" t="s">
        <v>538</v>
      </c>
      <c r="D1458" s="200">
        <f t="shared" si="668"/>
        <v>7.013088</v>
      </c>
      <c r="E1458" s="204">
        <f t="shared" si="669"/>
        <v>7.013088</v>
      </c>
      <c r="F1458" s="205">
        <v>7.013088</v>
      </c>
      <c r="G1458" s="205"/>
      <c r="H1458" s="205"/>
      <c r="I1458" s="204">
        <f t="shared" si="670"/>
        <v>0</v>
      </c>
      <c r="J1458" s="212"/>
      <c r="K1458" s="205"/>
      <c r="L1458" s="205"/>
      <c r="M1458" s="213"/>
      <c r="N1458" s="176">
        <f t="shared" si="671"/>
        <v>7.013088</v>
      </c>
    </row>
    <row r="1459" ht="26.25" hidden="1" customHeight="1" spans="1:14">
      <c r="A1459" s="202"/>
      <c r="B1459" s="203"/>
      <c r="C1459" s="203" t="s">
        <v>538</v>
      </c>
      <c r="D1459" s="200">
        <f t="shared" si="668"/>
        <v>3.716604</v>
      </c>
      <c r="E1459" s="204">
        <f t="shared" si="669"/>
        <v>3.716604</v>
      </c>
      <c r="F1459" s="205">
        <v>3.716604</v>
      </c>
      <c r="G1459" s="205"/>
      <c r="H1459" s="205"/>
      <c r="I1459" s="204">
        <f t="shared" si="670"/>
        <v>0</v>
      </c>
      <c r="J1459" s="212"/>
      <c r="K1459" s="205"/>
      <c r="L1459" s="205"/>
      <c r="M1459" s="213"/>
      <c r="N1459" s="176">
        <f t="shared" si="671"/>
        <v>3.716604</v>
      </c>
    </row>
    <row r="1460" ht="26.25" hidden="1" customHeight="1" spans="1:14">
      <c r="A1460" s="202"/>
      <c r="B1460" s="203"/>
      <c r="C1460" s="203" t="s">
        <v>539</v>
      </c>
      <c r="D1460" s="200">
        <f t="shared" si="668"/>
        <v>60.70914</v>
      </c>
      <c r="E1460" s="204">
        <f t="shared" si="669"/>
        <v>60.70914</v>
      </c>
      <c r="F1460" s="205">
        <v>60.70914</v>
      </c>
      <c r="G1460" s="205"/>
      <c r="H1460" s="205"/>
      <c r="I1460" s="204">
        <f t="shared" si="670"/>
        <v>0</v>
      </c>
      <c r="J1460" s="212"/>
      <c r="K1460" s="205"/>
      <c r="L1460" s="205"/>
      <c r="M1460" s="213"/>
      <c r="N1460" s="176">
        <f t="shared" si="671"/>
        <v>60.70914</v>
      </c>
    </row>
    <row r="1461" ht="26.25" hidden="1" customHeight="1" spans="1:14">
      <c r="A1461" s="202"/>
      <c r="B1461" s="203"/>
      <c r="C1461" s="203" t="s">
        <v>539</v>
      </c>
      <c r="D1461" s="200">
        <f t="shared" si="668"/>
        <v>20.77776</v>
      </c>
      <c r="E1461" s="204">
        <f t="shared" si="669"/>
        <v>20.77776</v>
      </c>
      <c r="F1461" s="205">
        <v>20.77776</v>
      </c>
      <c r="G1461" s="205"/>
      <c r="H1461" s="205"/>
      <c r="I1461" s="204">
        <f t="shared" si="670"/>
        <v>0</v>
      </c>
      <c r="J1461" s="212"/>
      <c r="K1461" s="205"/>
      <c r="L1461" s="205"/>
      <c r="M1461" s="213"/>
      <c r="N1461" s="176">
        <f t="shared" si="671"/>
        <v>20.77776</v>
      </c>
    </row>
    <row r="1462" ht="26.25" hidden="1" customHeight="1" spans="1:14">
      <c r="A1462" s="202"/>
      <c r="B1462" s="203"/>
      <c r="C1462" s="203" t="s">
        <v>539</v>
      </c>
      <c r="D1462" s="200">
        <f t="shared" si="668"/>
        <v>22.12824</v>
      </c>
      <c r="E1462" s="204">
        <f t="shared" si="669"/>
        <v>22.12824</v>
      </c>
      <c r="F1462" s="205">
        <v>22.12824</v>
      </c>
      <c r="G1462" s="205"/>
      <c r="H1462" s="205"/>
      <c r="I1462" s="204">
        <f t="shared" si="670"/>
        <v>0</v>
      </c>
      <c r="J1462" s="212"/>
      <c r="K1462" s="205"/>
      <c r="L1462" s="205"/>
      <c r="M1462" s="213"/>
      <c r="N1462" s="176">
        <f t="shared" si="671"/>
        <v>22.12824</v>
      </c>
    </row>
    <row r="1463" ht="26.25" hidden="1" customHeight="1" spans="1:14">
      <c r="A1463" s="202"/>
      <c r="B1463" s="203"/>
      <c r="C1463" s="203" t="s">
        <v>540</v>
      </c>
      <c r="D1463" s="200">
        <f t="shared" si="668"/>
        <v>72.355164</v>
      </c>
      <c r="E1463" s="204">
        <f t="shared" si="669"/>
        <v>72.355164</v>
      </c>
      <c r="F1463" s="205">
        <v>72.355164</v>
      </c>
      <c r="G1463" s="205"/>
      <c r="H1463" s="205"/>
      <c r="I1463" s="204">
        <f t="shared" si="670"/>
        <v>0</v>
      </c>
      <c r="J1463" s="212"/>
      <c r="K1463" s="205"/>
      <c r="L1463" s="205"/>
      <c r="M1463" s="213"/>
      <c r="N1463" s="176">
        <f t="shared" si="671"/>
        <v>72.355164</v>
      </c>
    </row>
    <row r="1464" ht="26.25" hidden="1" customHeight="1" spans="1:14">
      <c r="A1464" s="202"/>
      <c r="B1464" s="203"/>
      <c r="C1464" s="203" t="s">
        <v>541</v>
      </c>
      <c r="D1464" s="200">
        <f t="shared" si="668"/>
        <v>72.460608</v>
      </c>
      <c r="E1464" s="204">
        <f t="shared" si="669"/>
        <v>72.460608</v>
      </c>
      <c r="F1464" s="205">
        <v>72.460608</v>
      </c>
      <c r="G1464" s="205"/>
      <c r="H1464" s="205"/>
      <c r="I1464" s="204">
        <f t="shared" si="670"/>
        <v>0</v>
      </c>
      <c r="J1464" s="212"/>
      <c r="K1464" s="205"/>
      <c r="L1464" s="205"/>
      <c r="M1464" s="213"/>
      <c r="N1464" s="176">
        <f t="shared" si="671"/>
        <v>72.460608</v>
      </c>
    </row>
    <row r="1465" ht="26.25" hidden="1" customHeight="1" spans="1:14">
      <c r="A1465" s="202"/>
      <c r="B1465" s="203"/>
      <c r="C1465" s="203" t="s">
        <v>541</v>
      </c>
      <c r="D1465" s="200">
        <f t="shared" si="668"/>
        <v>18.688656</v>
      </c>
      <c r="E1465" s="204">
        <f t="shared" si="669"/>
        <v>18.688656</v>
      </c>
      <c r="F1465" s="205">
        <v>18.688656</v>
      </c>
      <c r="G1465" s="205"/>
      <c r="H1465" s="205"/>
      <c r="I1465" s="204">
        <f t="shared" si="670"/>
        <v>0</v>
      </c>
      <c r="J1465" s="212"/>
      <c r="K1465" s="205"/>
      <c r="L1465" s="205"/>
      <c r="M1465" s="213"/>
      <c r="N1465" s="176">
        <f t="shared" si="671"/>
        <v>18.688656</v>
      </c>
    </row>
    <row r="1466" ht="26.25" hidden="1" customHeight="1" spans="1:14">
      <c r="A1466" s="202"/>
      <c r="B1466" s="203"/>
      <c r="C1466" s="203" t="s">
        <v>542</v>
      </c>
      <c r="D1466" s="200">
        <f t="shared" si="668"/>
        <v>38.801448</v>
      </c>
      <c r="E1466" s="204">
        <f t="shared" si="669"/>
        <v>38.801448</v>
      </c>
      <c r="F1466" s="205">
        <v>38.801448</v>
      </c>
      <c r="G1466" s="205"/>
      <c r="H1466" s="205"/>
      <c r="I1466" s="204">
        <f t="shared" si="670"/>
        <v>0</v>
      </c>
      <c r="J1466" s="212"/>
      <c r="K1466" s="205"/>
      <c r="L1466" s="205"/>
      <c r="M1466" s="213"/>
      <c r="N1466" s="176">
        <f t="shared" si="671"/>
        <v>38.801448</v>
      </c>
    </row>
    <row r="1467" ht="26.25" hidden="1" customHeight="1" spans="1:14">
      <c r="A1467" s="202"/>
      <c r="B1467" s="203"/>
      <c r="C1467" s="203" t="s">
        <v>543</v>
      </c>
      <c r="D1467" s="200">
        <f t="shared" si="668"/>
        <v>32.849496</v>
      </c>
      <c r="E1467" s="204">
        <f t="shared" si="669"/>
        <v>32.849496</v>
      </c>
      <c r="F1467" s="205">
        <v>32.849496</v>
      </c>
      <c r="G1467" s="205"/>
      <c r="H1467" s="205"/>
      <c r="I1467" s="204">
        <f t="shared" si="670"/>
        <v>0</v>
      </c>
      <c r="J1467" s="212"/>
      <c r="K1467" s="205"/>
      <c r="L1467" s="205"/>
      <c r="M1467" s="213"/>
      <c r="N1467" s="176">
        <f t="shared" si="671"/>
        <v>32.849496</v>
      </c>
    </row>
    <row r="1468" ht="26.25" hidden="1" customHeight="1" spans="1:14">
      <c r="A1468" s="202"/>
      <c r="B1468" s="203"/>
      <c r="C1468" s="203" t="s">
        <v>544</v>
      </c>
      <c r="D1468" s="200">
        <f t="shared" si="668"/>
        <v>54.865932</v>
      </c>
      <c r="E1468" s="204">
        <f t="shared" si="669"/>
        <v>54.865932</v>
      </c>
      <c r="F1468" s="205">
        <v>54.865932</v>
      </c>
      <c r="G1468" s="205"/>
      <c r="H1468" s="205"/>
      <c r="I1468" s="204">
        <f t="shared" si="670"/>
        <v>0</v>
      </c>
      <c r="J1468" s="212"/>
      <c r="K1468" s="205"/>
      <c r="L1468" s="205"/>
      <c r="M1468" s="213"/>
      <c r="N1468" s="176">
        <f t="shared" si="671"/>
        <v>54.865932</v>
      </c>
    </row>
    <row r="1469" ht="26.25" hidden="1" customHeight="1" spans="1:14">
      <c r="A1469" s="202"/>
      <c r="B1469" s="203"/>
      <c r="C1469" s="203" t="s">
        <v>544</v>
      </c>
      <c r="D1469" s="200">
        <f t="shared" si="668"/>
        <v>8.348952</v>
      </c>
      <c r="E1469" s="204">
        <f t="shared" si="669"/>
        <v>8.348952</v>
      </c>
      <c r="F1469" s="205">
        <v>8.348952</v>
      </c>
      <c r="G1469" s="205"/>
      <c r="H1469" s="205"/>
      <c r="I1469" s="204">
        <f t="shared" si="670"/>
        <v>0</v>
      </c>
      <c r="J1469" s="212"/>
      <c r="K1469" s="205"/>
      <c r="L1469" s="205"/>
      <c r="M1469" s="213"/>
      <c r="N1469" s="176">
        <f t="shared" si="671"/>
        <v>8.348952</v>
      </c>
    </row>
    <row r="1470" ht="26.25" hidden="1" customHeight="1" spans="1:14">
      <c r="A1470" s="202"/>
      <c r="B1470" s="203"/>
      <c r="C1470" s="203" t="s">
        <v>544</v>
      </c>
      <c r="D1470" s="200">
        <f t="shared" si="668"/>
        <v>61.071629</v>
      </c>
      <c r="E1470" s="204">
        <f t="shared" si="669"/>
        <v>61.071629</v>
      </c>
      <c r="F1470" s="205">
        <v>61.071629</v>
      </c>
      <c r="G1470" s="205"/>
      <c r="H1470" s="205"/>
      <c r="I1470" s="204">
        <f t="shared" si="670"/>
        <v>0</v>
      </c>
      <c r="J1470" s="212"/>
      <c r="K1470" s="205"/>
      <c r="L1470" s="205"/>
      <c r="M1470" s="213"/>
      <c r="N1470" s="176">
        <f t="shared" si="671"/>
        <v>61.071629</v>
      </c>
    </row>
    <row r="1471" ht="26.25" hidden="1" customHeight="1" spans="1:14">
      <c r="A1471" s="202"/>
      <c r="B1471" s="203"/>
      <c r="C1471" s="203" t="s">
        <v>544</v>
      </c>
      <c r="D1471" s="200">
        <f t="shared" si="668"/>
        <v>10.957286</v>
      </c>
      <c r="E1471" s="204">
        <f t="shared" si="669"/>
        <v>10.957286</v>
      </c>
      <c r="F1471" s="205">
        <v>10.957286</v>
      </c>
      <c r="G1471" s="205"/>
      <c r="H1471" s="205"/>
      <c r="I1471" s="204">
        <f t="shared" si="670"/>
        <v>0</v>
      </c>
      <c r="J1471" s="212"/>
      <c r="K1471" s="205"/>
      <c r="L1471" s="205"/>
      <c r="M1471" s="213"/>
      <c r="N1471" s="176">
        <f t="shared" si="671"/>
        <v>10.957286</v>
      </c>
    </row>
    <row r="1472" ht="26.25" hidden="1" customHeight="1" spans="1:14">
      <c r="A1472" s="202"/>
      <c r="B1472" s="203"/>
      <c r="C1472" s="203" t="s">
        <v>544</v>
      </c>
      <c r="D1472" s="200">
        <f t="shared" si="668"/>
        <v>76.380079</v>
      </c>
      <c r="E1472" s="204">
        <f t="shared" si="669"/>
        <v>76.380079</v>
      </c>
      <c r="F1472" s="205">
        <v>76.380079</v>
      </c>
      <c r="G1472" s="205"/>
      <c r="H1472" s="205"/>
      <c r="I1472" s="204">
        <f t="shared" si="670"/>
        <v>0</v>
      </c>
      <c r="J1472" s="212"/>
      <c r="K1472" s="205"/>
      <c r="L1472" s="205"/>
      <c r="M1472" s="213"/>
      <c r="N1472" s="176">
        <f t="shared" si="671"/>
        <v>76.380079</v>
      </c>
    </row>
    <row r="1473" ht="26.25" hidden="1" customHeight="1" spans="1:14">
      <c r="A1473" s="202"/>
      <c r="B1473" s="203"/>
      <c r="C1473" s="203" t="s">
        <v>544</v>
      </c>
      <c r="D1473" s="200">
        <f t="shared" si="668"/>
        <v>83.172689</v>
      </c>
      <c r="E1473" s="204">
        <f t="shared" si="669"/>
        <v>83.172689</v>
      </c>
      <c r="F1473" s="205">
        <v>83.172689</v>
      </c>
      <c r="G1473" s="205"/>
      <c r="H1473" s="205"/>
      <c r="I1473" s="204">
        <f t="shared" si="670"/>
        <v>0</v>
      </c>
      <c r="J1473" s="212"/>
      <c r="K1473" s="205"/>
      <c r="L1473" s="205"/>
      <c r="M1473" s="213"/>
      <c r="N1473" s="176">
        <f t="shared" si="671"/>
        <v>83.172689</v>
      </c>
    </row>
    <row r="1474" ht="26.25" hidden="1" customHeight="1" spans="1:14">
      <c r="A1474" s="202"/>
      <c r="B1474" s="203"/>
      <c r="C1474" s="203" t="s">
        <v>544</v>
      </c>
      <c r="D1474" s="200">
        <f t="shared" si="668"/>
        <v>15.15269</v>
      </c>
      <c r="E1474" s="204">
        <f t="shared" si="669"/>
        <v>15.15269</v>
      </c>
      <c r="F1474" s="205">
        <v>15.15269</v>
      </c>
      <c r="G1474" s="205"/>
      <c r="H1474" s="205"/>
      <c r="I1474" s="204">
        <f t="shared" si="670"/>
        <v>0</v>
      </c>
      <c r="J1474" s="212"/>
      <c r="K1474" s="205"/>
      <c r="L1474" s="205"/>
      <c r="M1474" s="213"/>
      <c r="N1474" s="176">
        <f t="shared" si="671"/>
        <v>15.15269</v>
      </c>
    </row>
    <row r="1475" ht="26.25" hidden="1" customHeight="1" spans="1:14">
      <c r="A1475" s="202"/>
      <c r="B1475" s="203"/>
      <c r="C1475" s="203" t="s">
        <v>544</v>
      </c>
      <c r="D1475" s="200">
        <f t="shared" ref="D1475:D1538" si="672">E1475+I1475</f>
        <v>38.19117</v>
      </c>
      <c r="E1475" s="204">
        <f t="shared" ref="E1475:E1538" si="673">SUM(F1475:H1475)</f>
        <v>38.19117</v>
      </c>
      <c r="F1475" s="205">
        <v>38.19117</v>
      </c>
      <c r="G1475" s="205"/>
      <c r="H1475" s="205"/>
      <c r="I1475" s="204">
        <f t="shared" ref="I1475:I1538" si="674">SUM(J1475:L1475)</f>
        <v>0</v>
      </c>
      <c r="J1475" s="212"/>
      <c r="K1475" s="205"/>
      <c r="L1475" s="205"/>
      <c r="M1475" s="213"/>
      <c r="N1475" s="176">
        <f t="shared" si="671"/>
        <v>38.19117</v>
      </c>
    </row>
    <row r="1476" ht="26.25" hidden="1" customHeight="1" spans="1:14">
      <c r="A1476" s="202"/>
      <c r="B1476" s="203"/>
      <c r="C1476" s="203" t="s">
        <v>544</v>
      </c>
      <c r="D1476" s="200">
        <f t="shared" si="672"/>
        <v>86.565053</v>
      </c>
      <c r="E1476" s="204">
        <f t="shared" si="673"/>
        <v>86.565053</v>
      </c>
      <c r="F1476" s="205">
        <v>86.565053</v>
      </c>
      <c r="G1476" s="205"/>
      <c r="H1476" s="205"/>
      <c r="I1476" s="204">
        <f t="shared" si="674"/>
        <v>0</v>
      </c>
      <c r="J1476" s="212"/>
      <c r="K1476" s="205"/>
      <c r="L1476" s="205"/>
      <c r="M1476" s="213"/>
      <c r="N1476" s="176">
        <f t="shared" ref="N1476:N1539" si="675">J1476+E1476</f>
        <v>86.565053</v>
      </c>
    </row>
    <row r="1477" ht="26.25" hidden="1" customHeight="1" spans="1:14">
      <c r="A1477" s="202"/>
      <c r="B1477" s="203"/>
      <c r="C1477" s="203" t="s">
        <v>544</v>
      </c>
      <c r="D1477" s="200">
        <f t="shared" si="672"/>
        <v>50.364257</v>
      </c>
      <c r="E1477" s="204">
        <f t="shared" si="673"/>
        <v>50.364257</v>
      </c>
      <c r="F1477" s="205">
        <v>50.364257</v>
      </c>
      <c r="G1477" s="205"/>
      <c r="H1477" s="205"/>
      <c r="I1477" s="204">
        <f t="shared" si="674"/>
        <v>0</v>
      </c>
      <c r="J1477" s="212"/>
      <c r="K1477" s="205"/>
      <c r="L1477" s="205"/>
      <c r="M1477" s="213"/>
      <c r="N1477" s="176">
        <f t="shared" si="675"/>
        <v>50.364257</v>
      </c>
    </row>
    <row r="1478" ht="26.25" hidden="1" customHeight="1" spans="1:14">
      <c r="A1478" s="202"/>
      <c r="B1478" s="203"/>
      <c r="C1478" s="203" t="s">
        <v>544</v>
      </c>
      <c r="D1478" s="200">
        <f t="shared" si="672"/>
        <v>19.912222</v>
      </c>
      <c r="E1478" s="204">
        <f t="shared" si="673"/>
        <v>19.912222</v>
      </c>
      <c r="F1478" s="205">
        <v>19.912222</v>
      </c>
      <c r="G1478" s="205"/>
      <c r="H1478" s="205"/>
      <c r="I1478" s="204">
        <f t="shared" si="674"/>
        <v>0</v>
      </c>
      <c r="J1478" s="212"/>
      <c r="K1478" s="205"/>
      <c r="L1478" s="205"/>
      <c r="M1478" s="213"/>
      <c r="N1478" s="176">
        <f t="shared" si="675"/>
        <v>19.912222</v>
      </c>
    </row>
    <row r="1479" ht="26.25" hidden="1" customHeight="1" spans="1:14">
      <c r="A1479" s="202"/>
      <c r="B1479" s="203"/>
      <c r="C1479" s="203" t="s">
        <v>544</v>
      </c>
      <c r="D1479" s="200">
        <f t="shared" si="672"/>
        <v>18.730882</v>
      </c>
      <c r="E1479" s="204">
        <f t="shared" si="673"/>
        <v>18.730882</v>
      </c>
      <c r="F1479" s="205">
        <v>18.730882</v>
      </c>
      <c r="G1479" s="205"/>
      <c r="H1479" s="205"/>
      <c r="I1479" s="204">
        <f t="shared" si="674"/>
        <v>0</v>
      </c>
      <c r="J1479" s="212"/>
      <c r="K1479" s="205"/>
      <c r="L1479" s="205"/>
      <c r="M1479" s="213"/>
      <c r="N1479" s="176">
        <f t="shared" si="675"/>
        <v>18.730882</v>
      </c>
    </row>
    <row r="1480" ht="26.25" hidden="1" customHeight="1" spans="1:14">
      <c r="A1480" s="202"/>
      <c r="B1480" s="203"/>
      <c r="C1480" s="203" t="s">
        <v>544</v>
      </c>
      <c r="D1480" s="200">
        <f t="shared" si="672"/>
        <v>15.176522</v>
      </c>
      <c r="E1480" s="204">
        <f t="shared" si="673"/>
        <v>15.176522</v>
      </c>
      <c r="F1480" s="205">
        <v>15.176522</v>
      </c>
      <c r="G1480" s="205"/>
      <c r="H1480" s="205"/>
      <c r="I1480" s="204">
        <f t="shared" si="674"/>
        <v>0</v>
      </c>
      <c r="J1480" s="212"/>
      <c r="K1480" s="205"/>
      <c r="L1480" s="205"/>
      <c r="M1480" s="213"/>
      <c r="N1480" s="176">
        <f t="shared" si="675"/>
        <v>15.176522</v>
      </c>
    </row>
    <row r="1481" ht="26.25" hidden="1" customHeight="1" spans="1:14">
      <c r="A1481" s="202"/>
      <c r="B1481" s="203"/>
      <c r="C1481" s="203" t="s">
        <v>544</v>
      </c>
      <c r="D1481" s="200">
        <f t="shared" si="672"/>
        <v>37.867886</v>
      </c>
      <c r="E1481" s="204">
        <f t="shared" si="673"/>
        <v>37.867886</v>
      </c>
      <c r="F1481" s="205">
        <v>37.867886</v>
      </c>
      <c r="G1481" s="205"/>
      <c r="H1481" s="205"/>
      <c r="I1481" s="204">
        <f t="shared" si="674"/>
        <v>0</v>
      </c>
      <c r="J1481" s="212"/>
      <c r="K1481" s="205"/>
      <c r="L1481" s="205"/>
      <c r="M1481" s="213"/>
      <c r="N1481" s="176">
        <f t="shared" si="675"/>
        <v>37.867886</v>
      </c>
    </row>
    <row r="1482" ht="26.25" hidden="1" customHeight="1" spans="1:14">
      <c r="A1482" s="202"/>
      <c r="B1482" s="203"/>
      <c r="C1482" s="203" t="s">
        <v>544</v>
      </c>
      <c r="D1482" s="200">
        <f t="shared" si="672"/>
        <v>34.466734</v>
      </c>
      <c r="E1482" s="204">
        <f t="shared" si="673"/>
        <v>34.466734</v>
      </c>
      <c r="F1482" s="205">
        <v>34.466734</v>
      </c>
      <c r="G1482" s="205"/>
      <c r="H1482" s="205"/>
      <c r="I1482" s="204">
        <f t="shared" si="674"/>
        <v>0</v>
      </c>
      <c r="J1482" s="212"/>
      <c r="K1482" s="205"/>
      <c r="L1482" s="205"/>
      <c r="M1482" s="213"/>
      <c r="N1482" s="176">
        <f t="shared" si="675"/>
        <v>34.466734</v>
      </c>
    </row>
    <row r="1483" ht="26.25" hidden="1" customHeight="1" spans="1:14">
      <c r="A1483" s="202"/>
      <c r="B1483" s="203"/>
      <c r="C1483" s="203" t="s">
        <v>544</v>
      </c>
      <c r="D1483" s="200">
        <f t="shared" si="672"/>
        <v>18.320729</v>
      </c>
      <c r="E1483" s="204">
        <f t="shared" si="673"/>
        <v>18.320729</v>
      </c>
      <c r="F1483" s="205">
        <v>18.320729</v>
      </c>
      <c r="G1483" s="205"/>
      <c r="H1483" s="205"/>
      <c r="I1483" s="204">
        <f t="shared" si="674"/>
        <v>0</v>
      </c>
      <c r="J1483" s="212"/>
      <c r="K1483" s="205"/>
      <c r="L1483" s="205"/>
      <c r="M1483" s="213"/>
      <c r="N1483" s="176">
        <f t="shared" si="675"/>
        <v>18.320729</v>
      </c>
    </row>
    <row r="1484" ht="26.25" hidden="1" customHeight="1" spans="1:14">
      <c r="A1484" s="202"/>
      <c r="B1484" s="203"/>
      <c r="C1484" s="203" t="s">
        <v>544</v>
      </c>
      <c r="D1484" s="200">
        <f t="shared" si="672"/>
        <v>34.026557</v>
      </c>
      <c r="E1484" s="204">
        <f t="shared" si="673"/>
        <v>34.026557</v>
      </c>
      <c r="F1484" s="205">
        <v>34.026557</v>
      </c>
      <c r="G1484" s="205"/>
      <c r="H1484" s="205"/>
      <c r="I1484" s="204">
        <f t="shared" si="674"/>
        <v>0</v>
      </c>
      <c r="J1484" s="212"/>
      <c r="K1484" s="205"/>
      <c r="L1484" s="205"/>
      <c r="M1484" s="213"/>
      <c r="N1484" s="176">
        <f t="shared" si="675"/>
        <v>34.026557</v>
      </c>
    </row>
    <row r="1485" ht="26.25" hidden="1" customHeight="1" spans="1:14">
      <c r="A1485" s="202"/>
      <c r="B1485" s="203"/>
      <c r="C1485" s="203" t="s">
        <v>545</v>
      </c>
      <c r="D1485" s="200">
        <f t="shared" si="672"/>
        <v>20.485992</v>
      </c>
      <c r="E1485" s="204">
        <f t="shared" si="673"/>
        <v>20.485992</v>
      </c>
      <c r="F1485" s="205">
        <v>20.485992</v>
      </c>
      <c r="G1485" s="205"/>
      <c r="H1485" s="205"/>
      <c r="I1485" s="204">
        <f t="shared" si="674"/>
        <v>0</v>
      </c>
      <c r="J1485" s="212"/>
      <c r="K1485" s="205"/>
      <c r="L1485" s="205"/>
      <c r="M1485" s="213"/>
      <c r="N1485" s="176">
        <f t="shared" si="675"/>
        <v>20.485992</v>
      </c>
    </row>
    <row r="1486" ht="26.25" hidden="1" customHeight="1" spans="1:14">
      <c r="A1486" s="202"/>
      <c r="B1486" s="203"/>
      <c r="C1486" s="203" t="s">
        <v>545</v>
      </c>
      <c r="D1486" s="200">
        <f t="shared" si="672"/>
        <v>27.575964</v>
      </c>
      <c r="E1486" s="204">
        <f t="shared" si="673"/>
        <v>27.575964</v>
      </c>
      <c r="F1486" s="205">
        <v>27.575964</v>
      </c>
      <c r="G1486" s="205"/>
      <c r="H1486" s="205"/>
      <c r="I1486" s="204">
        <f t="shared" si="674"/>
        <v>0</v>
      </c>
      <c r="J1486" s="212"/>
      <c r="K1486" s="205"/>
      <c r="L1486" s="205"/>
      <c r="M1486" s="213"/>
      <c r="N1486" s="176">
        <f t="shared" si="675"/>
        <v>27.575964</v>
      </c>
    </row>
    <row r="1487" ht="26.25" hidden="1" customHeight="1" spans="1:14">
      <c r="A1487" s="202"/>
      <c r="B1487" s="203"/>
      <c r="C1487" s="203" t="s">
        <v>545</v>
      </c>
      <c r="D1487" s="200">
        <f t="shared" si="672"/>
        <v>10.619712</v>
      </c>
      <c r="E1487" s="204">
        <f t="shared" si="673"/>
        <v>10.619712</v>
      </c>
      <c r="F1487" s="205">
        <v>10.619712</v>
      </c>
      <c r="G1487" s="205"/>
      <c r="H1487" s="205"/>
      <c r="I1487" s="204">
        <f t="shared" si="674"/>
        <v>0</v>
      </c>
      <c r="J1487" s="212"/>
      <c r="K1487" s="205"/>
      <c r="L1487" s="205"/>
      <c r="M1487" s="213"/>
      <c r="N1487" s="176">
        <f t="shared" si="675"/>
        <v>10.619712</v>
      </c>
    </row>
    <row r="1488" ht="26.25" hidden="1" customHeight="1" spans="1:14">
      <c r="A1488" s="202"/>
      <c r="B1488" s="203"/>
      <c r="C1488" s="203" t="s">
        <v>546</v>
      </c>
      <c r="D1488" s="200">
        <f t="shared" si="672"/>
        <v>11.884819</v>
      </c>
      <c r="E1488" s="204">
        <f t="shared" si="673"/>
        <v>11.884819</v>
      </c>
      <c r="F1488" s="205">
        <v>11.884819</v>
      </c>
      <c r="G1488" s="205"/>
      <c r="H1488" s="205"/>
      <c r="I1488" s="204">
        <f t="shared" si="674"/>
        <v>0</v>
      </c>
      <c r="J1488" s="212"/>
      <c r="K1488" s="205"/>
      <c r="L1488" s="205"/>
      <c r="M1488" s="213"/>
      <c r="N1488" s="176">
        <f t="shared" si="675"/>
        <v>11.884819</v>
      </c>
    </row>
    <row r="1489" ht="26.25" hidden="1" customHeight="1" spans="1:14">
      <c r="A1489" s="202"/>
      <c r="B1489" s="203"/>
      <c r="C1489" s="203" t="s">
        <v>547</v>
      </c>
      <c r="D1489" s="200">
        <f t="shared" si="672"/>
        <v>11.360808</v>
      </c>
      <c r="E1489" s="204">
        <f t="shared" si="673"/>
        <v>11.360808</v>
      </c>
      <c r="F1489" s="205">
        <v>11.360808</v>
      </c>
      <c r="G1489" s="205"/>
      <c r="H1489" s="205"/>
      <c r="I1489" s="204">
        <f t="shared" si="674"/>
        <v>0</v>
      </c>
      <c r="J1489" s="212"/>
      <c r="K1489" s="205"/>
      <c r="L1489" s="205"/>
      <c r="M1489" s="213"/>
      <c r="N1489" s="176">
        <f t="shared" si="675"/>
        <v>11.360808</v>
      </c>
    </row>
    <row r="1490" ht="26.25" hidden="1" customHeight="1" spans="1:14">
      <c r="A1490" s="202"/>
      <c r="B1490" s="203"/>
      <c r="C1490" s="203" t="s">
        <v>548</v>
      </c>
      <c r="D1490" s="200">
        <f t="shared" si="672"/>
        <v>47.014032</v>
      </c>
      <c r="E1490" s="204">
        <f t="shared" si="673"/>
        <v>47.014032</v>
      </c>
      <c r="F1490" s="205">
        <v>47.014032</v>
      </c>
      <c r="G1490" s="205"/>
      <c r="H1490" s="205"/>
      <c r="I1490" s="204">
        <f t="shared" si="674"/>
        <v>0</v>
      </c>
      <c r="J1490" s="212"/>
      <c r="K1490" s="205"/>
      <c r="L1490" s="205"/>
      <c r="M1490" s="213"/>
      <c r="N1490" s="176">
        <f t="shared" si="675"/>
        <v>47.014032</v>
      </c>
    </row>
    <row r="1491" ht="26.25" hidden="1" customHeight="1" spans="1:14">
      <c r="A1491" s="202"/>
      <c r="B1491" s="203"/>
      <c r="C1491" s="203" t="s">
        <v>549</v>
      </c>
      <c r="D1491" s="200">
        <f t="shared" si="672"/>
        <v>71.46702</v>
      </c>
      <c r="E1491" s="204">
        <f t="shared" si="673"/>
        <v>71.46702</v>
      </c>
      <c r="F1491" s="205">
        <v>71.46702</v>
      </c>
      <c r="G1491" s="205"/>
      <c r="H1491" s="205"/>
      <c r="I1491" s="204">
        <f t="shared" si="674"/>
        <v>0</v>
      </c>
      <c r="J1491" s="212"/>
      <c r="K1491" s="205"/>
      <c r="L1491" s="205"/>
      <c r="M1491" s="213"/>
      <c r="N1491" s="176">
        <f t="shared" si="675"/>
        <v>71.46702</v>
      </c>
    </row>
    <row r="1492" ht="26.25" hidden="1" customHeight="1" spans="1:14">
      <c r="A1492" s="202"/>
      <c r="B1492" s="203"/>
      <c r="C1492" s="203" t="s">
        <v>549</v>
      </c>
      <c r="D1492" s="200">
        <f t="shared" si="672"/>
        <v>7.363104</v>
      </c>
      <c r="E1492" s="204">
        <f t="shared" si="673"/>
        <v>7.363104</v>
      </c>
      <c r="F1492" s="205">
        <v>7.363104</v>
      </c>
      <c r="G1492" s="205"/>
      <c r="H1492" s="205"/>
      <c r="I1492" s="204">
        <f t="shared" si="674"/>
        <v>0</v>
      </c>
      <c r="J1492" s="212"/>
      <c r="K1492" s="205"/>
      <c r="L1492" s="205"/>
      <c r="M1492" s="213"/>
      <c r="N1492" s="176">
        <f t="shared" si="675"/>
        <v>7.363104</v>
      </c>
    </row>
    <row r="1493" ht="26.25" hidden="1" customHeight="1" spans="1:14">
      <c r="A1493" s="202"/>
      <c r="B1493" s="203"/>
      <c r="C1493" s="203" t="s">
        <v>549</v>
      </c>
      <c r="D1493" s="200">
        <f t="shared" si="672"/>
        <v>13.676016</v>
      </c>
      <c r="E1493" s="204">
        <f t="shared" si="673"/>
        <v>13.676016</v>
      </c>
      <c r="F1493" s="205">
        <v>13.676016</v>
      </c>
      <c r="G1493" s="205"/>
      <c r="H1493" s="205"/>
      <c r="I1493" s="204">
        <f t="shared" si="674"/>
        <v>0</v>
      </c>
      <c r="J1493" s="212"/>
      <c r="K1493" s="205"/>
      <c r="L1493" s="205"/>
      <c r="M1493" s="213"/>
      <c r="N1493" s="176">
        <f t="shared" si="675"/>
        <v>13.676016</v>
      </c>
    </row>
    <row r="1494" ht="26.25" hidden="1" customHeight="1" spans="1:14">
      <c r="A1494" s="202"/>
      <c r="B1494" s="203"/>
      <c r="C1494" s="203" t="s">
        <v>549</v>
      </c>
      <c r="D1494" s="200">
        <f t="shared" si="672"/>
        <v>8.658288</v>
      </c>
      <c r="E1494" s="204">
        <f t="shared" si="673"/>
        <v>8.658288</v>
      </c>
      <c r="F1494" s="205">
        <v>8.658288</v>
      </c>
      <c r="G1494" s="205"/>
      <c r="H1494" s="205"/>
      <c r="I1494" s="204">
        <f t="shared" si="674"/>
        <v>0</v>
      </c>
      <c r="J1494" s="212"/>
      <c r="K1494" s="205"/>
      <c r="L1494" s="205"/>
      <c r="M1494" s="213"/>
      <c r="N1494" s="176">
        <f t="shared" si="675"/>
        <v>8.658288</v>
      </c>
    </row>
    <row r="1495" ht="26.25" hidden="1" customHeight="1" spans="1:14">
      <c r="A1495" s="202"/>
      <c r="B1495" s="203"/>
      <c r="C1495" s="203" t="s">
        <v>549</v>
      </c>
      <c r="D1495" s="200">
        <f t="shared" si="672"/>
        <v>6.375072</v>
      </c>
      <c r="E1495" s="204">
        <f t="shared" si="673"/>
        <v>6.375072</v>
      </c>
      <c r="F1495" s="205">
        <v>6.375072</v>
      </c>
      <c r="G1495" s="205"/>
      <c r="H1495" s="205"/>
      <c r="I1495" s="204">
        <f t="shared" si="674"/>
        <v>0</v>
      </c>
      <c r="J1495" s="212"/>
      <c r="K1495" s="205"/>
      <c r="L1495" s="205"/>
      <c r="M1495" s="213"/>
      <c r="N1495" s="176">
        <f t="shared" si="675"/>
        <v>6.375072</v>
      </c>
    </row>
    <row r="1496" ht="26.25" hidden="1" customHeight="1" spans="1:14">
      <c r="A1496" s="202"/>
      <c r="B1496" s="203"/>
      <c r="C1496" s="203" t="s">
        <v>549</v>
      </c>
      <c r="D1496" s="200">
        <f t="shared" si="672"/>
        <v>9.31224</v>
      </c>
      <c r="E1496" s="204">
        <f t="shared" si="673"/>
        <v>9.31224</v>
      </c>
      <c r="F1496" s="205">
        <v>9.31224</v>
      </c>
      <c r="G1496" s="205"/>
      <c r="H1496" s="205"/>
      <c r="I1496" s="204">
        <f t="shared" si="674"/>
        <v>0</v>
      </c>
      <c r="J1496" s="212"/>
      <c r="K1496" s="205"/>
      <c r="L1496" s="205"/>
      <c r="M1496" s="213"/>
      <c r="N1496" s="176">
        <f t="shared" si="675"/>
        <v>9.31224</v>
      </c>
    </row>
    <row r="1497" ht="26.25" hidden="1" customHeight="1" spans="1:14">
      <c r="A1497" s="202"/>
      <c r="B1497" s="203"/>
      <c r="C1497" s="203" t="s">
        <v>549</v>
      </c>
      <c r="D1497" s="200">
        <f t="shared" si="672"/>
        <v>3.62232</v>
      </c>
      <c r="E1497" s="204">
        <f t="shared" si="673"/>
        <v>3.62232</v>
      </c>
      <c r="F1497" s="205">
        <v>3.62232</v>
      </c>
      <c r="G1497" s="205"/>
      <c r="H1497" s="205"/>
      <c r="I1497" s="204">
        <f t="shared" si="674"/>
        <v>0</v>
      </c>
      <c r="J1497" s="212"/>
      <c r="K1497" s="205"/>
      <c r="L1497" s="205"/>
      <c r="M1497" s="213"/>
      <c r="N1497" s="176">
        <f t="shared" si="675"/>
        <v>3.62232</v>
      </c>
    </row>
    <row r="1498" ht="26.25" hidden="1" customHeight="1" spans="1:14">
      <c r="A1498" s="202"/>
      <c r="B1498" s="203"/>
      <c r="C1498" s="203" t="s">
        <v>549</v>
      </c>
      <c r="D1498" s="200">
        <f t="shared" si="672"/>
        <v>3.618864</v>
      </c>
      <c r="E1498" s="204">
        <f t="shared" si="673"/>
        <v>3.618864</v>
      </c>
      <c r="F1498" s="205">
        <v>3.618864</v>
      </c>
      <c r="G1498" s="205"/>
      <c r="H1498" s="205"/>
      <c r="I1498" s="204">
        <f t="shared" si="674"/>
        <v>0</v>
      </c>
      <c r="J1498" s="212"/>
      <c r="K1498" s="205"/>
      <c r="L1498" s="205"/>
      <c r="M1498" s="213"/>
      <c r="N1498" s="176">
        <f t="shared" si="675"/>
        <v>3.618864</v>
      </c>
    </row>
    <row r="1499" ht="26.25" hidden="1" customHeight="1" spans="1:14">
      <c r="A1499" s="202"/>
      <c r="B1499" s="203"/>
      <c r="C1499" s="203" t="s">
        <v>549</v>
      </c>
      <c r="D1499" s="200">
        <f t="shared" si="672"/>
        <v>5.760816</v>
      </c>
      <c r="E1499" s="204">
        <f t="shared" si="673"/>
        <v>5.760816</v>
      </c>
      <c r="F1499" s="205">
        <v>5.760816</v>
      </c>
      <c r="G1499" s="205"/>
      <c r="H1499" s="205"/>
      <c r="I1499" s="204">
        <f t="shared" si="674"/>
        <v>0</v>
      </c>
      <c r="J1499" s="212"/>
      <c r="K1499" s="205"/>
      <c r="L1499" s="205"/>
      <c r="M1499" s="213"/>
      <c r="N1499" s="176">
        <f t="shared" si="675"/>
        <v>5.760816</v>
      </c>
    </row>
    <row r="1500" ht="26.25" hidden="1" customHeight="1" spans="1:14">
      <c r="A1500" s="202"/>
      <c r="B1500" s="203"/>
      <c r="C1500" s="203" t="s">
        <v>549</v>
      </c>
      <c r="D1500" s="200">
        <f t="shared" si="672"/>
        <v>7.95816</v>
      </c>
      <c r="E1500" s="204">
        <f t="shared" si="673"/>
        <v>7.95816</v>
      </c>
      <c r="F1500" s="205">
        <v>7.95816</v>
      </c>
      <c r="G1500" s="205"/>
      <c r="H1500" s="205"/>
      <c r="I1500" s="204">
        <f t="shared" si="674"/>
        <v>0</v>
      </c>
      <c r="J1500" s="212"/>
      <c r="K1500" s="205"/>
      <c r="L1500" s="205"/>
      <c r="M1500" s="213"/>
      <c r="N1500" s="176">
        <f t="shared" si="675"/>
        <v>7.95816</v>
      </c>
    </row>
    <row r="1501" ht="26.25" hidden="1" customHeight="1" spans="1:14">
      <c r="A1501" s="202"/>
      <c r="B1501" s="203"/>
      <c r="C1501" s="203" t="s">
        <v>549</v>
      </c>
      <c r="D1501" s="200">
        <f t="shared" si="672"/>
        <v>6.198384</v>
      </c>
      <c r="E1501" s="204">
        <f t="shared" si="673"/>
        <v>6.198384</v>
      </c>
      <c r="F1501" s="205">
        <v>6.198384</v>
      </c>
      <c r="G1501" s="205"/>
      <c r="H1501" s="205"/>
      <c r="I1501" s="204">
        <f t="shared" si="674"/>
        <v>0</v>
      </c>
      <c r="J1501" s="212"/>
      <c r="K1501" s="205"/>
      <c r="L1501" s="205"/>
      <c r="M1501" s="213"/>
      <c r="N1501" s="176">
        <f t="shared" si="675"/>
        <v>6.198384</v>
      </c>
    </row>
    <row r="1502" ht="26.25" hidden="1" customHeight="1" spans="1:14">
      <c r="A1502" s="202"/>
      <c r="B1502" s="203"/>
      <c r="C1502" s="203" t="s">
        <v>549</v>
      </c>
      <c r="D1502" s="200">
        <f t="shared" si="672"/>
        <v>4.06728</v>
      </c>
      <c r="E1502" s="204">
        <f t="shared" si="673"/>
        <v>4.06728</v>
      </c>
      <c r="F1502" s="205">
        <v>4.06728</v>
      </c>
      <c r="G1502" s="205"/>
      <c r="H1502" s="205"/>
      <c r="I1502" s="204">
        <f t="shared" si="674"/>
        <v>0</v>
      </c>
      <c r="J1502" s="212"/>
      <c r="K1502" s="205"/>
      <c r="L1502" s="205"/>
      <c r="M1502" s="213"/>
      <c r="N1502" s="176">
        <f t="shared" si="675"/>
        <v>4.06728</v>
      </c>
    </row>
    <row r="1503" ht="26.25" hidden="1" customHeight="1" spans="1:14">
      <c r="A1503" s="202"/>
      <c r="B1503" s="203"/>
      <c r="C1503" s="203" t="s">
        <v>549</v>
      </c>
      <c r="D1503" s="200">
        <f t="shared" si="672"/>
        <v>12.880752</v>
      </c>
      <c r="E1503" s="204">
        <f t="shared" si="673"/>
        <v>12.880752</v>
      </c>
      <c r="F1503" s="205">
        <v>12.880752</v>
      </c>
      <c r="G1503" s="205"/>
      <c r="H1503" s="205"/>
      <c r="I1503" s="204">
        <f t="shared" si="674"/>
        <v>0</v>
      </c>
      <c r="J1503" s="212"/>
      <c r="K1503" s="205"/>
      <c r="L1503" s="205"/>
      <c r="M1503" s="213"/>
      <c r="N1503" s="176">
        <f t="shared" si="675"/>
        <v>12.880752</v>
      </c>
    </row>
    <row r="1504" ht="26.25" hidden="1" customHeight="1" spans="1:14">
      <c r="A1504" s="202"/>
      <c r="B1504" s="203"/>
      <c r="C1504" s="203" t="s">
        <v>549</v>
      </c>
      <c r="D1504" s="200">
        <f t="shared" si="672"/>
        <v>6.361488</v>
      </c>
      <c r="E1504" s="204">
        <f t="shared" si="673"/>
        <v>6.361488</v>
      </c>
      <c r="F1504" s="205">
        <v>6.361488</v>
      </c>
      <c r="G1504" s="205"/>
      <c r="H1504" s="205"/>
      <c r="I1504" s="204">
        <f t="shared" si="674"/>
        <v>0</v>
      </c>
      <c r="J1504" s="212"/>
      <c r="K1504" s="205"/>
      <c r="L1504" s="205"/>
      <c r="M1504" s="213"/>
      <c r="N1504" s="176">
        <f t="shared" si="675"/>
        <v>6.361488</v>
      </c>
    </row>
    <row r="1505" ht="26.25" hidden="1" customHeight="1" spans="1:14">
      <c r="A1505" s="202"/>
      <c r="B1505" s="203"/>
      <c r="C1505" s="203" t="s">
        <v>549</v>
      </c>
      <c r="D1505" s="200">
        <f t="shared" si="672"/>
        <v>3.509136</v>
      </c>
      <c r="E1505" s="204">
        <f t="shared" si="673"/>
        <v>3.509136</v>
      </c>
      <c r="F1505" s="205">
        <v>3.509136</v>
      </c>
      <c r="G1505" s="205"/>
      <c r="H1505" s="205"/>
      <c r="I1505" s="204">
        <f t="shared" si="674"/>
        <v>0</v>
      </c>
      <c r="J1505" s="212"/>
      <c r="K1505" s="205"/>
      <c r="L1505" s="205"/>
      <c r="M1505" s="213"/>
      <c r="N1505" s="176">
        <f t="shared" si="675"/>
        <v>3.509136</v>
      </c>
    </row>
    <row r="1506" ht="26.25" hidden="1" customHeight="1" spans="1:14">
      <c r="A1506" s="202"/>
      <c r="B1506" s="203"/>
      <c r="C1506" s="203" t="s">
        <v>549</v>
      </c>
      <c r="D1506" s="200">
        <f t="shared" si="672"/>
        <v>2.31744</v>
      </c>
      <c r="E1506" s="204">
        <f t="shared" si="673"/>
        <v>2.31744</v>
      </c>
      <c r="F1506" s="205">
        <v>2.31744</v>
      </c>
      <c r="G1506" s="205"/>
      <c r="H1506" s="205"/>
      <c r="I1506" s="204">
        <f t="shared" si="674"/>
        <v>0</v>
      </c>
      <c r="J1506" s="212"/>
      <c r="K1506" s="205"/>
      <c r="L1506" s="205"/>
      <c r="M1506" s="213"/>
      <c r="N1506" s="176">
        <f t="shared" si="675"/>
        <v>2.31744</v>
      </c>
    </row>
    <row r="1507" ht="26.25" hidden="1" customHeight="1" spans="1:14">
      <c r="A1507" s="202"/>
      <c r="B1507" s="203"/>
      <c r="C1507" s="203" t="s">
        <v>549</v>
      </c>
      <c r="D1507" s="200">
        <f t="shared" si="672"/>
        <v>2.275824</v>
      </c>
      <c r="E1507" s="204">
        <f t="shared" si="673"/>
        <v>2.275824</v>
      </c>
      <c r="F1507" s="205">
        <v>2.275824</v>
      </c>
      <c r="G1507" s="205"/>
      <c r="H1507" s="205"/>
      <c r="I1507" s="204">
        <f t="shared" si="674"/>
        <v>0</v>
      </c>
      <c r="J1507" s="212"/>
      <c r="K1507" s="205"/>
      <c r="L1507" s="205"/>
      <c r="M1507" s="213"/>
      <c r="N1507" s="176">
        <f t="shared" si="675"/>
        <v>2.275824</v>
      </c>
    </row>
    <row r="1508" ht="26.25" hidden="1" customHeight="1" spans="1:14">
      <c r="A1508" s="202"/>
      <c r="B1508" s="203"/>
      <c r="C1508" s="203" t="s">
        <v>549</v>
      </c>
      <c r="D1508" s="200">
        <f t="shared" si="672"/>
        <v>3.497616</v>
      </c>
      <c r="E1508" s="204">
        <f t="shared" si="673"/>
        <v>3.497616</v>
      </c>
      <c r="F1508" s="205">
        <v>3.497616</v>
      </c>
      <c r="G1508" s="205"/>
      <c r="H1508" s="205"/>
      <c r="I1508" s="204">
        <f t="shared" si="674"/>
        <v>0</v>
      </c>
      <c r="J1508" s="212"/>
      <c r="K1508" s="205"/>
      <c r="L1508" s="205"/>
      <c r="M1508" s="213"/>
      <c r="N1508" s="176">
        <f t="shared" si="675"/>
        <v>3.497616</v>
      </c>
    </row>
    <row r="1509" ht="26.25" hidden="1" customHeight="1" spans="1:14">
      <c r="A1509" s="202"/>
      <c r="B1509" s="203"/>
      <c r="C1509" s="203" t="s">
        <v>549</v>
      </c>
      <c r="D1509" s="200">
        <f t="shared" si="672"/>
        <v>1.86168</v>
      </c>
      <c r="E1509" s="204">
        <f t="shared" si="673"/>
        <v>1.86168</v>
      </c>
      <c r="F1509" s="205">
        <v>1.86168</v>
      </c>
      <c r="G1509" s="205"/>
      <c r="H1509" s="205"/>
      <c r="I1509" s="204">
        <f t="shared" si="674"/>
        <v>0</v>
      </c>
      <c r="J1509" s="212"/>
      <c r="K1509" s="205"/>
      <c r="L1509" s="205"/>
      <c r="M1509" s="213"/>
      <c r="N1509" s="176">
        <f t="shared" si="675"/>
        <v>1.86168</v>
      </c>
    </row>
    <row r="1510" ht="26.25" hidden="1" customHeight="1" spans="1:14">
      <c r="A1510" s="202"/>
      <c r="B1510" s="203"/>
      <c r="C1510" s="203" t="s">
        <v>549</v>
      </c>
      <c r="D1510" s="200">
        <f t="shared" si="672"/>
        <v>4.081392</v>
      </c>
      <c r="E1510" s="204">
        <f t="shared" si="673"/>
        <v>4.081392</v>
      </c>
      <c r="F1510" s="205">
        <v>4.081392</v>
      </c>
      <c r="G1510" s="205"/>
      <c r="H1510" s="205"/>
      <c r="I1510" s="204">
        <f t="shared" si="674"/>
        <v>0</v>
      </c>
      <c r="J1510" s="212"/>
      <c r="K1510" s="205"/>
      <c r="L1510" s="205"/>
      <c r="M1510" s="213"/>
      <c r="N1510" s="176">
        <f t="shared" si="675"/>
        <v>4.081392</v>
      </c>
    </row>
    <row r="1511" ht="26.25" hidden="1" customHeight="1" spans="1:14">
      <c r="A1511" s="202"/>
      <c r="B1511" s="203"/>
      <c r="C1511" s="203" t="s">
        <v>549</v>
      </c>
      <c r="D1511" s="200">
        <f t="shared" si="672"/>
        <v>3.378384</v>
      </c>
      <c r="E1511" s="204">
        <f t="shared" si="673"/>
        <v>3.378384</v>
      </c>
      <c r="F1511" s="205">
        <v>3.378384</v>
      </c>
      <c r="G1511" s="205"/>
      <c r="H1511" s="205"/>
      <c r="I1511" s="204">
        <f t="shared" si="674"/>
        <v>0</v>
      </c>
      <c r="J1511" s="212"/>
      <c r="K1511" s="205"/>
      <c r="L1511" s="205"/>
      <c r="M1511" s="213"/>
      <c r="N1511" s="176">
        <f t="shared" si="675"/>
        <v>3.378384</v>
      </c>
    </row>
    <row r="1512" ht="26.25" hidden="1" customHeight="1" spans="1:14">
      <c r="A1512" s="202"/>
      <c r="B1512" s="203"/>
      <c r="C1512" s="203" t="s">
        <v>549</v>
      </c>
      <c r="D1512" s="200">
        <f t="shared" si="672"/>
        <v>3.184992</v>
      </c>
      <c r="E1512" s="204">
        <f t="shared" si="673"/>
        <v>3.184992</v>
      </c>
      <c r="F1512" s="205">
        <v>3.184992</v>
      </c>
      <c r="G1512" s="205"/>
      <c r="H1512" s="205"/>
      <c r="I1512" s="204">
        <f t="shared" si="674"/>
        <v>0</v>
      </c>
      <c r="J1512" s="212"/>
      <c r="K1512" s="205"/>
      <c r="L1512" s="205"/>
      <c r="M1512" s="213"/>
      <c r="N1512" s="176">
        <f t="shared" si="675"/>
        <v>3.184992</v>
      </c>
    </row>
    <row r="1513" ht="26.25" hidden="1" customHeight="1" spans="1:14">
      <c r="A1513" s="202"/>
      <c r="B1513" s="203"/>
      <c r="C1513" s="203" t="s">
        <v>549</v>
      </c>
      <c r="D1513" s="200">
        <f t="shared" si="672"/>
        <v>3.6252</v>
      </c>
      <c r="E1513" s="204">
        <f t="shared" si="673"/>
        <v>3.6252</v>
      </c>
      <c r="F1513" s="205">
        <v>3.6252</v>
      </c>
      <c r="G1513" s="205"/>
      <c r="H1513" s="205"/>
      <c r="I1513" s="204">
        <f t="shared" si="674"/>
        <v>0</v>
      </c>
      <c r="J1513" s="212"/>
      <c r="K1513" s="205"/>
      <c r="L1513" s="205"/>
      <c r="M1513" s="213"/>
      <c r="N1513" s="176">
        <f t="shared" si="675"/>
        <v>3.6252</v>
      </c>
    </row>
    <row r="1514" ht="26.25" hidden="1" customHeight="1" spans="1:14">
      <c r="A1514" s="202"/>
      <c r="B1514" s="203"/>
      <c r="C1514" s="203" t="s">
        <v>549</v>
      </c>
      <c r="D1514" s="200">
        <f t="shared" si="672"/>
        <v>2.141904</v>
      </c>
      <c r="E1514" s="204">
        <f t="shared" si="673"/>
        <v>2.141904</v>
      </c>
      <c r="F1514" s="205">
        <v>2.141904</v>
      </c>
      <c r="G1514" s="205"/>
      <c r="H1514" s="205"/>
      <c r="I1514" s="204">
        <f t="shared" si="674"/>
        <v>0</v>
      </c>
      <c r="J1514" s="212"/>
      <c r="K1514" s="205"/>
      <c r="L1514" s="205"/>
      <c r="M1514" s="213"/>
      <c r="N1514" s="176">
        <f t="shared" si="675"/>
        <v>2.141904</v>
      </c>
    </row>
    <row r="1515" ht="26.25" hidden="1" customHeight="1" spans="1:14">
      <c r="A1515" s="202"/>
      <c r="B1515" s="203"/>
      <c r="C1515" s="203" t="s">
        <v>549</v>
      </c>
      <c r="D1515" s="200">
        <f t="shared" si="672"/>
        <v>3.511584</v>
      </c>
      <c r="E1515" s="204">
        <f t="shared" si="673"/>
        <v>3.511584</v>
      </c>
      <c r="F1515" s="205">
        <v>3.511584</v>
      </c>
      <c r="G1515" s="205"/>
      <c r="H1515" s="205"/>
      <c r="I1515" s="204">
        <f t="shared" si="674"/>
        <v>0</v>
      </c>
      <c r="J1515" s="212"/>
      <c r="K1515" s="205"/>
      <c r="L1515" s="205"/>
      <c r="M1515" s="213"/>
      <c r="N1515" s="176">
        <f t="shared" si="675"/>
        <v>3.511584</v>
      </c>
    </row>
    <row r="1516" ht="26.25" hidden="1" customHeight="1" spans="1:14">
      <c r="A1516" s="202"/>
      <c r="B1516" s="203"/>
      <c r="C1516" s="203" t="s">
        <v>549</v>
      </c>
      <c r="D1516" s="200">
        <f t="shared" si="672"/>
        <v>2.860752</v>
      </c>
      <c r="E1516" s="204">
        <f t="shared" si="673"/>
        <v>2.860752</v>
      </c>
      <c r="F1516" s="205">
        <v>2.860752</v>
      </c>
      <c r="G1516" s="205"/>
      <c r="H1516" s="205"/>
      <c r="I1516" s="204">
        <f t="shared" si="674"/>
        <v>0</v>
      </c>
      <c r="J1516" s="212"/>
      <c r="K1516" s="205"/>
      <c r="L1516" s="205"/>
      <c r="M1516" s="213"/>
      <c r="N1516" s="176">
        <f t="shared" si="675"/>
        <v>2.860752</v>
      </c>
    </row>
    <row r="1517" ht="26.25" hidden="1" customHeight="1" spans="1:14">
      <c r="A1517" s="202"/>
      <c r="B1517" s="203"/>
      <c r="C1517" s="203" t="s">
        <v>549</v>
      </c>
      <c r="D1517" s="200">
        <f t="shared" si="672"/>
        <v>6.222288</v>
      </c>
      <c r="E1517" s="204">
        <f t="shared" si="673"/>
        <v>6.222288</v>
      </c>
      <c r="F1517" s="205">
        <v>6.222288</v>
      </c>
      <c r="G1517" s="205"/>
      <c r="H1517" s="205"/>
      <c r="I1517" s="204">
        <f t="shared" si="674"/>
        <v>0</v>
      </c>
      <c r="J1517" s="212"/>
      <c r="K1517" s="205"/>
      <c r="L1517" s="205"/>
      <c r="M1517" s="213"/>
      <c r="N1517" s="176">
        <f t="shared" si="675"/>
        <v>6.222288</v>
      </c>
    </row>
    <row r="1518" ht="26.25" hidden="1" customHeight="1" spans="1:14">
      <c r="A1518" s="202"/>
      <c r="B1518" s="203"/>
      <c r="C1518" s="203" t="s">
        <v>549</v>
      </c>
      <c r="D1518" s="200">
        <f t="shared" si="672"/>
        <v>3.3372</v>
      </c>
      <c r="E1518" s="204">
        <f t="shared" si="673"/>
        <v>3.3372</v>
      </c>
      <c r="F1518" s="205">
        <v>3.3372</v>
      </c>
      <c r="G1518" s="205"/>
      <c r="H1518" s="205"/>
      <c r="I1518" s="204">
        <f t="shared" si="674"/>
        <v>0</v>
      </c>
      <c r="J1518" s="212"/>
      <c r="K1518" s="205"/>
      <c r="L1518" s="205"/>
      <c r="M1518" s="213"/>
      <c r="N1518" s="176">
        <f t="shared" si="675"/>
        <v>3.3372</v>
      </c>
    </row>
    <row r="1519" ht="26.25" hidden="1" customHeight="1" spans="1:14">
      <c r="A1519" s="202"/>
      <c r="B1519" s="203"/>
      <c r="C1519" s="203" t="s">
        <v>549</v>
      </c>
      <c r="D1519" s="200">
        <f t="shared" si="672"/>
        <v>2.481744</v>
      </c>
      <c r="E1519" s="204">
        <f t="shared" si="673"/>
        <v>2.481744</v>
      </c>
      <c r="F1519" s="205">
        <v>2.481744</v>
      </c>
      <c r="G1519" s="205"/>
      <c r="H1519" s="205"/>
      <c r="I1519" s="204">
        <f t="shared" si="674"/>
        <v>0</v>
      </c>
      <c r="J1519" s="212"/>
      <c r="K1519" s="205"/>
      <c r="L1519" s="205"/>
      <c r="M1519" s="213"/>
      <c r="N1519" s="176">
        <f t="shared" si="675"/>
        <v>2.481744</v>
      </c>
    </row>
    <row r="1520" ht="26.25" hidden="1" customHeight="1" spans="1:14">
      <c r="A1520" s="202"/>
      <c r="B1520" s="203"/>
      <c r="C1520" s="203" t="s">
        <v>549</v>
      </c>
      <c r="D1520" s="200">
        <f t="shared" si="672"/>
        <v>4.323984</v>
      </c>
      <c r="E1520" s="204">
        <f t="shared" si="673"/>
        <v>4.323984</v>
      </c>
      <c r="F1520" s="205">
        <v>4.323984</v>
      </c>
      <c r="G1520" s="205"/>
      <c r="H1520" s="205"/>
      <c r="I1520" s="204">
        <f t="shared" si="674"/>
        <v>0</v>
      </c>
      <c r="J1520" s="212"/>
      <c r="K1520" s="205"/>
      <c r="L1520" s="205"/>
      <c r="M1520" s="213"/>
      <c r="N1520" s="176">
        <f t="shared" si="675"/>
        <v>4.323984</v>
      </c>
    </row>
    <row r="1521" ht="26.25" hidden="1" customHeight="1" spans="1:14">
      <c r="A1521" s="202"/>
      <c r="B1521" s="203"/>
      <c r="C1521" s="203" t="s">
        <v>549</v>
      </c>
      <c r="D1521" s="200">
        <f t="shared" si="672"/>
        <v>3.292272</v>
      </c>
      <c r="E1521" s="204">
        <f t="shared" si="673"/>
        <v>3.292272</v>
      </c>
      <c r="F1521" s="205">
        <v>3.292272</v>
      </c>
      <c r="G1521" s="205"/>
      <c r="H1521" s="205"/>
      <c r="I1521" s="204">
        <f t="shared" si="674"/>
        <v>0</v>
      </c>
      <c r="J1521" s="212"/>
      <c r="K1521" s="205"/>
      <c r="L1521" s="205"/>
      <c r="M1521" s="213"/>
      <c r="N1521" s="176">
        <f t="shared" si="675"/>
        <v>3.292272</v>
      </c>
    </row>
    <row r="1522" ht="26.25" hidden="1" customHeight="1" spans="1:14">
      <c r="A1522" s="202"/>
      <c r="B1522" s="203"/>
      <c r="C1522" s="203" t="s">
        <v>549</v>
      </c>
      <c r="D1522" s="200">
        <f t="shared" si="672"/>
        <v>7.520976</v>
      </c>
      <c r="E1522" s="204">
        <f t="shared" si="673"/>
        <v>7.520976</v>
      </c>
      <c r="F1522" s="205">
        <v>7.520976</v>
      </c>
      <c r="G1522" s="205"/>
      <c r="H1522" s="205"/>
      <c r="I1522" s="204">
        <f t="shared" si="674"/>
        <v>0</v>
      </c>
      <c r="J1522" s="212"/>
      <c r="K1522" s="205"/>
      <c r="L1522" s="205"/>
      <c r="M1522" s="213"/>
      <c r="N1522" s="176">
        <f t="shared" si="675"/>
        <v>7.520976</v>
      </c>
    </row>
    <row r="1523" ht="26.25" hidden="1" customHeight="1" spans="1:14">
      <c r="A1523" s="202"/>
      <c r="B1523" s="203"/>
      <c r="C1523" s="203" t="s">
        <v>549</v>
      </c>
      <c r="D1523" s="200">
        <f t="shared" si="672"/>
        <v>5.980512</v>
      </c>
      <c r="E1523" s="204">
        <f t="shared" si="673"/>
        <v>5.980512</v>
      </c>
      <c r="F1523" s="205">
        <v>5.980512</v>
      </c>
      <c r="G1523" s="205"/>
      <c r="H1523" s="205"/>
      <c r="I1523" s="204">
        <f t="shared" si="674"/>
        <v>0</v>
      </c>
      <c r="J1523" s="212"/>
      <c r="K1523" s="205"/>
      <c r="L1523" s="205"/>
      <c r="M1523" s="213"/>
      <c r="N1523" s="176">
        <f t="shared" si="675"/>
        <v>5.980512</v>
      </c>
    </row>
    <row r="1524" ht="26.25" hidden="1" customHeight="1" spans="1:14">
      <c r="A1524" s="202"/>
      <c r="B1524" s="203"/>
      <c r="C1524" s="203" t="s">
        <v>549</v>
      </c>
      <c r="D1524" s="200">
        <f t="shared" si="672"/>
        <v>7.205904</v>
      </c>
      <c r="E1524" s="204">
        <f t="shared" si="673"/>
        <v>7.205904</v>
      </c>
      <c r="F1524" s="205">
        <v>7.205904</v>
      </c>
      <c r="G1524" s="205"/>
      <c r="H1524" s="205"/>
      <c r="I1524" s="204">
        <f t="shared" si="674"/>
        <v>0</v>
      </c>
      <c r="J1524" s="212"/>
      <c r="K1524" s="205"/>
      <c r="L1524" s="205"/>
      <c r="M1524" s="213"/>
      <c r="N1524" s="176">
        <f t="shared" si="675"/>
        <v>7.205904</v>
      </c>
    </row>
    <row r="1525" ht="26.25" hidden="1" customHeight="1" spans="1:14">
      <c r="A1525" s="202"/>
      <c r="B1525" s="203"/>
      <c r="C1525" s="203" t="s">
        <v>549</v>
      </c>
      <c r="D1525" s="200">
        <f t="shared" si="672"/>
        <v>6.08016</v>
      </c>
      <c r="E1525" s="204">
        <f t="shared" si="673"/>
        <v>6.08016</v>
      </c>
      <c r="F1525" s="205">
        <v>6.08016</v>
      </c>
      <c r="G1525" s="205"/>
      <c r="H1525" s="205"/>
      <c r="I1525" s="204">
        <f t="shared" si="674"/>
        <v>0</v>
      </c>
      <c r="J1525" s="212"/>
      <c r="K1525" s="205"/>
      <c r="L1525" s="205"/>
      <c r="M1525" s="213"/>
      <c r="N1525" s="176">
        <f t="shared" si="675"/>
        <v>6.08016</v>
      </c>
    </row>
    <row r="1526" ht="26.25" hidden="1" customHeight="1" spans="1:14">
      <c r="A1526" s="202"/>
      <c r="B1526" s="203"/>
      <c r="C1526" s="203" t="s">
        <v>549</v>
      </c>
      <c r="D1526" s="200">
        <f t="shared" si="672"/>
        <v>3.36888</v>
      </c>
      <c r="E1526" s="204">
        <f t="shared" si="673"/>
        <v>3.36888</v>
      </c>
      <c r="F1526" s="205">
        <v>3.36888</v>
      </c>
      <c r="G1526" s="205"/>
      <c r="H1526" s="205"/>
      <c r="I1526" s="204">
        <f t="shared" si="674"/>
        <v>0</v>
      </c>
      <c r="J1526" s="212"/>
      <c r="K1526" s="205"/>
      <c r="L1526" s="205"/>
      <c r="M1526" s="213"/>
      <c r="N1526" s="176">
        <f t="shared" si="675"/>
        <v>3.36888</v>
      </c>
    </row>
    <row r="1527" ht="26.25" hidden="1" customHeight="1" spans="1:14">
      <c r="A1527" s="202"/>
      <c r="B1527" s="203"/>
      <c r="C1527" s="203" t="s">
        <v>549</v>
      </c>
      <c r="D1527" s="200">
        <f t="shared" si="672"/>
        <v>6.663744</v>
      </c>
      <c r="E1527" s="204">
        <f t="shared" si="673"/>
        <v>6.663744</v>
      </c>
      <c r="F1527" s="205">
        <v>6.663744</v>
      </c>
      <c r="G1527" s="205"/>
      <c r="H1527" s="205"/>
      <c r="I1527" s="204">
        <f t="shared" si="674"/>
        <v>0</v>
      </c>
      <c r="J1527" s="212"/>
      <c r="K1527" s="205"/>
      <c r="L1527" s="205"/>
      <c r="M1527" s="213"/>
      <c r="N1527" s="176">
        <f t="shared" si="675"/>
        <v>6.663744</v>
      </c>
    </row>
    <row r="1528" ht="26.25" hidden="1" customHeight="1" spans="1:14">
      <c r="A1528" s="202"/>
      <c r="B1528" s="203"/>
      <c r="C1528" s="203" t="s">
        <v>549</v>
      </c>
      <c r="D1528" s="200">
        <f t="shared" si="672"/>
        <v>3.849984</v>
      </c>
      <c r="E1528" s="204">
        <f t="shared" si="673"/>
        <v>3.849984</v>
      </c>
      <c r="F1528" s="205">
        <v>3.849984</v>
      </c>
      <c r="G1528" s="205"/>
      <c r="H1528" s="205"/>
      <c r="I1528" s="204">
        <f t="shared" si="674"/>
        <v>0</v>
      </c>
      <c r="J1528" s="212"/>
      <c r="K1528" s="205"/>
      <c r="L1528" s="205"/>
      <c r="M1528" s="213"/>
      <c r="N1528" s="176">
        <f t="shared" si="675"/>
        <v>3.849984</v>
      </c>
    </row>
    <row r="1529" ht="26.25" hidden="1" customHeight="1" spans="1:14">
      <c r="A1529" s="202"/>
      <c r="B1529" s="203"/>
      <c r="C1529" s="203" t="s">
        <v>550</v>
      </c>
      <c r="D1529" s="200">
        <f t="shared" si="672"/>
        <v>164.34006</v>
      </c>
      <c r="E1529" s="204">
        <f t="shared" si="673"/>
        <v>164.34006</v>
      </c>
      <c r="F1529" s="205">
        <v>164.34006</v>
      </c>
      <c r="G1529" s="205"/>
      <c r="H1529" s="205"/>
      <c r="I1529" s="204">
        <f t="shared" si="674"/>
        <v>0</v>
      </c>
      <c r="J1529" s="212"/>
      <c r="K1529" s="205"/>
      <c r="L1529" s="205"/>
      <c r="M1529" s="213"/>
      <c r="N1529" s="176">
        <f t="shared" si="675"/>
        <v>164.34006</v>
      </c>
    </row>
    <row r="1530" ht="26.25" hidden="1" customHeight="1" spans="1:14">
      <c r="A1530" s="202"/>
      <c r="B1530" s="203"/>
      <c r="C1530" s="203" t="s">
        <v>551</v>
      </c>
      <c r="D1530" s="200">
        <f t="shared" si="672"/>
        <v>16.29186</v>
      </c>
      <c r="E1530" s="204">
        <f t="shared" si="673"/>
        <v>16.29186</v>
      </c>
      <c r="F1530" s="205">
        <v>16.29186</v>
      </c>
      <c r="G1530" s="205"/>
      <c r="H1530" s="205"/>
      <c r="I1530" s="204">
        <f t="shared" si="674"/>
        <v>0</v>
      </c>
      <c r="J1530" s="212"/>
      <c r="K1530" s="205"/>
      <c r="L1530" s="205"/>
      <c r="M1530" s="213"/>
      <c r="N1530" s="176">
        <f t="shared" si="675"/>
        <v>16.29186</v>
      </c>
    </row>
    <row r="1531" ht="26.25" hidden="1" customHeight="1" spans="1:14">
      <c r="A1531" s="202"/>
      <c r="B1531" s="203"/>
      <c r="C1531" s="203" t="s">
        <v>551</v>
      </c>
      <c r="D1531" s="200">
        <f t="shared" si="672"/>
        <v>11.76768</v>
      </c>
      <c r="E1531" s="204">
        <f t="shared" si="673"/>
        <v>11.76768</v>
      </c>
      <c r="F1531" s="205">
        <v>11.76768</v>
      </c>
      <c r="G1531" s="205"/>
      <c r="H1531" s="205"/>
      <c r="I1531" s="204">
        <f t="shared" si="674"/>
        <v>0</v>
      </c>
      <c r="J1531" s="212"/>
      <c r="K1531" s="205"/>
      <c r="L1531" s="205"/>
      <c r="M1531" s="213"/>
      <c r="N1531" s="176">
        <f t="shared" si="675"/>
        <v>11.76768</v>
      </c>
    </row>
    <row r="1532" ht="26.25" hidden="1" customHeight="1" spans="1:14">
      <c r="A1532" s="202"/>
      <c r="B1532" s="203"/>
      <c r="C1532" s="203" t="s">
        <v>551</v>
      </c>
      <c r="D1532" s="200">
        <f t="shared" si="672"/>
        <v>9.01944</v>
      </c>
      <c r="E1532" s="204">
        <f t="shared" si="673"/>
        <v>9.01944</v>
      </c>
      <c r="F1532" s="205">
        <v>9.01944</v>
      </c>
      <c r="G1532" s="205"/>
      <c r="H1532" s="205"/>
      <c r="I1532" s="204">
        <f t="shared" si="674"/>
        <v>0</v>
      </c>
      <c r="J1532" s="212"/>
      <c r="K1532" s="205"/>
      <c r="L1532" s="205"/>
      <c r="M1532" s="213"/>
      <c r="N1532" s="176">
        <f t="shared" si="675"/>
        <v>9.01944</v>
      </c>
    </row>
    <row r="1533" ht="26.25" hidden="1" customHeight="1" spans="1:14">
      <c r="A1533" s="202"/>
      <c r="B1533" s="203"/>
      <c r="C1533" s="203" t="s">
        <v>551</v>
      </c>
      <c r="D1533" s="200">
        <f t="shared" si="672"/>
        <v>3.383856</v>
      </c>
      <c r="E1533" s="204">
        <f t="shared" si="673"/>
        <v>3.383856</v>
      </c>
      <c r="F1533" s="205">
        <v>3.383856</v>
      </c>
      <c r="G1533" s="205"/>
      <c r="H1533" s="205"/>
      <c r="I1533" s="204">
        <f t="shared" si="674"/>
        <v>0</v>
      </c>
      <c r="J1533" s="212"/>
      <c r="K1533" s="205"/>
      <c r="L1533" s="205"/>
      <c r="M1533" s="213"/>
      <c r="N1533" s="176">
        <f t="shared" si="675"/>
        <v>3.383856</v>
      </c>
    </row>
    <row r="1534" ht="26.25" hidden="1" customHeight="1" spans="1:14">
      <c r="A1534" s="202"/>
      <c r="B1534" s="203"/>
      <c r="C1534" s="203" t="s">
        <v>551</v>
      </c>
      <c r="D1534" s="200">
        <f t="shared" si="672"/>
        <v>4.414013</v>
      </c>
      <c r="E1534" s="204">
        <f t="shared" si="673"/>
        <v>4.414013</v>
      </c>
      <c r="F1534" s="205">
        <v>4.414013</v>
      </c>
      <c r="G1534" s="205"/>
      <c r="H1534" s="205"/>
      <c r="I1534" s="204">
        <f t="shared" si="674"/>
        <v>0</v>
      </c>
      <c r="J1534" s="212"/>
      <c r="K1534" s="205"/>
      <c r="L1534" s="205"/>
      <c r="M1534" s="213"/>
      <c r="N1534" s="176">
        <f t="shared" si="675"/>
        <v>4.414013</v>
      </c>
    </row>
    <row r="1535" ht="26.25" hidden="1" customHeight="1" spans="1:14">
      <c r="A1535" s="202"/>
      <c r="B1535" s="203"/>
      <c r="C1535" s="203" t="s">
        <v>551</v>
      </c>
      <c r="D1535" s="200">
        <f t="shared" si="672"/>
        <v>1.20336</v>
      </c>
      <c r="E1535" s="204">
        <f t="shared" si="673"/>
        <v>1.20336</v>
      </c>
      <c r="F1535" s="205">
        <v>1.20336</v>
      </c>
      <c r="G1535" s="205"/>
      <c r="H1535" s="205"/>
      <c r="I1535" s="204">
        <f t="shared" si="674"/>
        <v>0</v>
      </c>
      <c r="J1535" s="212"/>
      <c r="K1535" s="205"/>
      <c r="L1535" s="205"/>
      <c r="M1535" s="213"/>
      <c r="N1535" s="176">
        <f t="shared" si="675"/>
        <v>1.20336</v>
      </c>
    </row>
    <row r="1536" ht="26.25" hidden="1" customHeight="1" spans="1:14">
      <c r="A1536" s="202"/>
      <c r="B1536" s="203"/>
      <c r="C1536" s="203" t="s">
        <v>552</v>
      </c>
      <c r="D1536" s="200">
        <f t="shared" si="672"/>
        <v>8.780376</v>
      </c>
      <c r="E1536" s="204">
        <f t="shared" si="673"/>
        <v>8.780376</v>
      </c>
      <c r="F1536" s="205">
        <v>8.780376</v>
      </c>
      <c r="G1536" s="205"/>
      <c r="H1536" s="205"/>
      <c r="I1536" s="204">
        <f t="shared" si="674"/>
        <v>0</v>
      </c>
      <c r="J1536" s="212"/>
      <c r="K1536" s="205"/>
      <c r="L1536" s="205"/>
      <c r="M1536" s="213"/>
      <c r="N1536" s="176">
        <f t="shared" si="675"/>
        <v>8.780376</v>
      </c>
    </row>
    <row r="1537" ht="26.25" hidden="1" customHeight="1" spans="1:14">
      <c r="A1537" s="202"/>
      <c r="B1537" s="203"/>
      <c r="C1537" s="203" t="s">
        <v>553</v>
      </c>
      <c r="D1537" s="200">
        <f t="shared" si="672"/>
        <v>9.883092</v>
      </c>
      <c r="E1537" s="204">
        <f t="shared" si="673"/>
        <v>9.883092</v>
      </c>
      <c r="F1537" s="205">
        <v>9.883092</v>
      </c>
      <c r="G1537" s="205"/>
      <c r="H1537" s="205"/>
      <c r="I1537" s="204">
        <f t="shared" si="674"/>
        <v>0</v>
      </c>
      <c r="J1537" s="212"/>
      <c r="K1537" s="205"/>
      <c r="L1537" s="205"/>
      <c r="M1537" s="213"/>
      <c r="N1537" s="176">
        <f t="shared" si="675"/>
        <v>9.883092</v>
      </c>
    </row>
    <row r="1538" ht="26.25" hidden="1" customHeight="1" spans="1:14">
      <c r="A1538" s="202"/>
      <c r="B1538" s="203"/>
      <c r="C1538" s="203" t="s">
        <v>554</v>
      </c>
      <c r="D1538" s="200">
        <f t="shared" si="672"/>
        <v>34.123116</v>
      </c>
      <c r="E1538" s="204">
        <f t="shared" si="673"/>
        <v>34.123116</v>
      </c>
      <c r="F1538" s="205">
        <v>34.123116</v>
      </c>
      <c r="G1538" s="205"/>
      <c r="H1538" s="205"/>
      <c r="I1538" s="204">
        <f t="shared" si="674"/>
        <v>0</v>
      </c>
      <c r="J1538" s="212"/>
      <c r="K1538" s="205"/>
      <c r="L1538" s="205"/>
      <c r="M1538" s="213"/>
      <c r="N1538" s="176">
        <f t="shared" si="675"/>
        <v>34.123116</v>
      </c>
    </row>
    <row r="1539" ht="26.25" hidden="1" customHeight="1" spans="1:14">
      <c r="A1539" s="202"/>
      <c r="B1539" s="203"/>
      <c r="C1539" s="203" t="s">
        <v>555</v>
      </c>
      <c r="D1539" s="200">
        <f t="shared" ref="D1539:D1602" si="676">E1539+I1539</f>
        <v>16.964988</v>
      </c>
      <c r="E1539" s="204">
        <f t="shared" ref="E1539:E1602" si="677">SUM(F1539:H1539)</f>
        <v>16.964988</v>
      </c>
      <c r="F1539" s="205">
        <v>16.964988</v>
      </c>
      <c r="G1539" s="205"/>
      <c r="H1539" s="205"/>
      <c r="I1539" s="204">
        <f t="shared" ref="I1539:I1602" si="678">SUM(J1539:L1539)</f>
        <v>0</v>
      </c>
      <c r="J1539" s="212"/>
      <c r="K1539" s="205"/>
      <c r="L1539" s="205"/>
      <c r="M1539" s="213"/>
      <c r="N1539" s="176">
        <f t="shared" si="675"/>
        <v>16.964988</v>
      </c>
    </row>
    <row r="1540" ht="26.25" hidden="1" customHeight="1" spans="1:14">
      <c r="A1540" s="202"/>
      <c r="B1540" s="203"/>
      <c r="C1540" s="203" t="s">
        <v>556</v>
      </c>
      <c r="D1540" s="200">
        <f t="shared" si="676"/>
        <v>6.549048</v>
      </c>
      <c r="E1540" s="204">
        <f t="shared" si="677"/>
        <v>6.549048</v>
      </c>
      <c r="F1540" s="205">
        <v>6.549048</v>
      </c>
      <c r="G1540" s="205"/>
      <c r="H1540" s="205"/>
      <c r="I1540" s="204">
        <f t="shared" si="678"/>
        <v>0</v>
      </c>
      <c r="J1540" s="212"/>
      <c r="K1540" s="205"/>
      <c r="L1540" s="205"/>
      <c r="M1540" s="213"/>
      <c r="N1540" s="176">
        <f t="shared" ref="N1540:N1603" si="679">J1540+E1540</f>
        <v>6.549048</v>
      </c>
    </row>
    <row r="1541" ht="26.25" hidden="1" customHeight="1" spans="1:14">
      <c r="A1541" s="202"/>
      <c r="B1541" s="203"/>
      <c r="C1541" s="203" t="s">
        <v>557</v>
      </c>
      <c r="D1541" s="200">
        <f t="shared" si="676"/>
        <v>34.330872</v>
      </c>
      <c r="E1541" s="204">
        <f t="shared" si="677"/>
        <v>34.330872</v>
      </c>
      <c r="F1541" s="205">
        <v>34.330872</v>
      </c>
      <c r="G1541" s="205"/>
      <c r="H1541" s="205"/>
      <c r="I1541" s="204">
        <f t="shared" si="678"/>
        <v>0</v>
      </c>
      <c r="J1541" s="212"/>
      <c r="K1541" s="205"/>
      <c r="L1541" s="205"/>
      <c r="M1541" s="213"/>
      <c r="N1541" s="176">
        <f t="shared" si="679"/>
        <v>34.330872</v>
      </c>
    </row>
    <row r="1542" ht="26.25" hidden="1" customHeight="1" spans="1:14">
      <c r="A1542" s="202"/>
      <c r="B1542" s="203"/>
      <c r="C1542" s="203" t="s">
        <v>558</v>
      </c>
      <c r="D1542" s="200">
        <f t="shared" si="676"/>
        <v>17.979312</v>
      </c>
      <c r="E1542" s="204">
        <f t="shared" si="677"/>
        <v>17.979312</v>
      </c>
      <c r="F1542" s="205">
        <v>17.979312</v>
      </c>
      <c r="G1542" s="205"/>
      <c r="H1542" s="205"/>
      <c r="I1542" s="204">
        <f t="shared" si="678"/>
        <v>0</v>
      </c>
      <c r="J1542" s="212"/>
      <c r="K1542" s="205"/>
      <c r="L1542" s="205"/>
      <c r="M1542" s="213"/>
      <c r="N1542" s="176">
        <f t="shared" si="679"/>
        <v>17.979312</v>
      </c>
    </row>
    <row r="1543" ht="26.25" hidden="1" customHeight="1" spans="1:14">
      <c r="A1543" s="202"/>
      <c r="B1543" s="203"/>
      <c r="C1543" s="203" t="s">
        <v>559</v>
      </c>
      <c r="D1543" s="200">
        <f t="shared" si="676"/>
        <v>9.003792</v>
      </c>
      <c r="E1543" s="204">
        <f t="shared" si="677"/>
        <v>9.003792</v>
      </c>
      <c r="F1543" s="205">
        <v>9.003792</v>
      </c>
      <c r="G1543" s="205"/>
      <c r="H1543" s="205"/>
      <c r="I1543" s="204">
        <f t="shared" si="678"/>
        <v>0</v>
      </c>
      <c r="J1543" s="212"/>
      <c r="K1543" s="205"/>
      <c r="L1543" s="205"/>
      <c r="M1543" s="213"/>
      <c r="N1543" s="176">
        <f t="shared" si="679"/>
        <v>9.003792</v>
      </c>
    </row>
    <row r="1544" ht="26.25" hidden="1" customHeight="1" spans="1:14">
      <c r="A1544" s="202"/>
      <c r="B1544" s="203"/>
      <c r="C1544" s="203" t="s">
        <v>560</v>
      </c>
      <c r="D1544" s="200">
        <f t="shared" si="676"/>
        <v>127.475856</v>
      </c>
      <c r="E1544" s="204">
        <f t="shared" si="677"/>
        <v>127.475856</v>
      </c>
      <c r="F1544" s="205">
        <v>127.475856</v>
      </c>
      <c r="G1544" s="205"/>
      <c r="H1544" s="205"/>
      <c r="I1544" s="204">
        <f t="shared" si="678"/>
        <v>0</v>
      </c>
      <c r="J1544" s="212"/>
      <c r="K1544" s="205"/>
      <c r="L1544" s="205"/>
      <c r="M1544" s="213"/>
      <c r="N1544" s="176">
        <f t="shared" si="679"/>
        <v>127.475856</v>
      </c>
    </row>
    <row r="1545" ht="26.25" hidden="1" customHeight="1" spans="1:14">
      <c r="A1545" s="202"/>
      <c r="B1545" s="203"/>
      <c r="C1545" s="203" t="s">
        <v>459</v>
      </c>
      <c r="D1545" s="200">
        <f t="shared" si="676"/>
        <v>37.627524</v>
      </c>
      <c r="E1545" s="204">
        <f t="shared" si="677"/>
        <v>37.627524</v>
      </c>
      <c r="F1545" s="205">
        <v>37.627524</v>
      </c>
      <c r="G1545" s="205"/>
      <c r="H1545" s="205"/>
      <c r="I1545" s="204">
        <f t="shared" si="678"/>
        <v>0</v>
      </c>
      <c r="J1545" s="212"/>
      <c r="K1545" s="205"/>
      <c r="L1545" s="205"/>
      <c r="M1545" s="213"/>
      <c r="N1545" s="176">
        <f t="shared" si="679"/>
        <v>37.627524</v>
      </c>
    </row>
    <row r="1546" ht="26.25" hidden="1" customHeight="1" spans="1:14">
      <c r="A1546" s="202"/>
      <c r="B1546" s="203"/>
      <c r="C1546" s="203" t="s">
        <v>561</v>
      </c>
      <c r="D1546" s="200">
        <f t="shared" si="676"/>
        <v>24.308592</v>
      </c>
      <c r="E1546" s="204">
        <f t="shared" si="677"/>
        <v>24.308592</v>
      </c>
      <c r="F1546" s="205">
        <v>24.308592</v>
      </c>
      <c r="G1546" s="205"/>
      <c r="H1546" s="205"/>
      <c r="I1546" s="204">
        <f t="shared" si="678"/>
        <v>0</v>
      </c>
      <c r="J1546" s="212"/>
      <c r="K1546" s="205"/>
      <c r="L1546" s="205"/>
      <c r="M1546" s="213"/>
      <c r="N1546" s="176">
        <f t="shared" si="679"/>
        <v>24.308592</v>
      </c>
    </row>
    <row r="1547" ht="26.25" hidden="1" customHeight="1" spans="1:14">
      <c r="A1547" s="202"/>
      <c r="B1547" s="203"/>
      <c r="C1547" s="203" t="s">
        <v>562</v>
      </c>
      <c r="D1547" s="200">
        <f t="shared" si="676"/>
        <v>10.187064</v>
      </c>
      <c r="E1547" s="204">
        <f t="shared" si="677"/>
        <v>10.187064</v>
      </c>
      <c r="F1547" s="205">
        <v>10.187064</v>
      </c>
      <c r="G1547" s="205"/>
      <c r="H1547" s="205"/>
      <c r="I1547" s="204">
        <f t="shared" si="678"/>
        <v>0</v>
      </c>
      <c r="J1547" s="212"/>
      <c r="K1547" s="205"/>
      <c r="L1547" s="205"/>
      <c r="M1547" s="213"/>
      <c r="N1547" s="176">
        <f t="shared" si="679"/>
        <v>10.187064</v>
      </c>
    </row>
    <row r="1548" ht="26.25" hidden="1" customHeight="1" spans="1:14">
      <c r="A1548" s="202"/>
      <c r="B1548" s="203"/>
      <c r="C1548" s="203" t="s">
        <v>563</v>
      </c>
      <c r="D1548" s="200">
        <f t="shared" si="676"/>
        <v>15.11232</v>
      </c>
      <c r="E1548" s="204">
        <f t="shared" si="677"/>
        <v>15.11232</v>
      </c>
      <c r="F1548" s="205">
        <v>15.11232</v>
      </c>
      <c r="G1548" s="205"/>
      <c r="H1548" s="205"/>
      <c r="I1548" s="204">
        <f t="shared" si="678"/>
        <v>0</v>
      </c>
      <c r="J1548" s="212"/>
      <c r="K1548" s="205"/>
      <c r="L1548" s="205"/>
      <c r="M1548" s="213"/>
      <c r="N1548" s="176">
        <f t="shared" si="679"/>
        <v>15.11232</v>
      </c>
    </row>
    <row r="1549" ht="26.25" hidden="1" customHeight="1" spans="1:14">
      <c r="A1549" s="202"/>
      <c r="B1549" s="203"/>
      <c r="C1549" s="203" t="s">
        <v>564</v>
      </c>
      <c r="D1549" s="200">
        <f t="shared" si="676"/>
        <v>51.611436</v>
      </c>
      <c r="E1549" s="204">
        <f t="shared" si="677"/>
        <v>51.611436</v>
      </c>
      <c r="F1549" s="205">
        <v>51.611436</v>
      </c>
      <c r="G1549" s="205"/>
      <c r="H1549" s="205"/>
      <c r="I1549" s="204">
        <f t="shared" si="678"/>
        <v>0</v>
      </c>
      <c r="J1549" s="212"/>
      <c r="K1549" s="205"/>
      <c r="L1549" s="205"/>
      <c r="M1549" s="213"/>
      <c r="N1549" s="176">
        <f t="shared" si="679"/>
        <v>51.611436</v>
      </c>
    </row>
    <row r="1550" ht="26.25" hidden="1" customHeight="1" spans="1:14">
      <c r="A1550" s="202"/>
      <c r="B1550" s="203"/>
      <c r="C1550" s="203" t="s">
        <v>564</v>
      </c>
      <c r="D1550" s="200">
        <f t="shared" si="676"/>
        <v>3.813264</v>
      </c>
      <c r="E1550" s="204">
        <f t="shared" si="677"/>
        <v>3.813264</v>
      </c>
      <c r="F1550" s="205">
        <v>3.813264</v>
      </c>
      <c r="G1550" s="205"/>
      <c r="H1550" s="205"/>
      <c r="I1550" s="204">
        <f t="shared" si="678"/>
        <v>0</v>
      </c>
      <c r="J1550" s="212"/>
      <c r="K1550" s="205"/>
      <c r="L1550" s="205"/>
      <c r="M1550" s="213"/>
      <c r="N1550" s="176">
        <f t="shared" si="679"/>
        <v>3.813264</v>
      </c>
    </row>
    <row r="1551" ht="26.25" hidden="1" customHeight="1" spans="1:14">
      <c r="A1551" s="202"/>
      <c r="B1551" s="203"/>
      <c r="C1551" s="203" t="s">
        <v>564</v>
      </c>
      <c r="D1551" s="200">
        <f t="shared" si="676"/>
        <v>10.506192</v>
      </c>
      <c r="E1551" s="204">
        <f t="shared" si="677"/>
        <v>10.506192</v>
      </c>
      <c r="F1551" s="205">
        <v>10.506192</v>
      </c>
      <c r="G1551" s="205"/>
      <c r="H1551" s="205"/>
      <c r="I1551" s="204">
        <f t="shared" si="678"/>
        <v>0</v>
      </c>
      <c r="J1551" s="212"/>
      <c r="K1551" s="205"/>
      <c r="L1551" s="205"/>
      <c r="M1551" s="213"/>
      <c r="N1551" s="176">
        <f t="shared" si="679"/>
        <v>10.506192</v>
      </c>
    </row>
    <row r="1552" ht="26.25" hidden="1" customHeight="1" spans="1:14">
      <c r="A1552" s="202"/>
      <c r="B1552" s="203"/>
      <c r="C1552" s="203" t="s">
        <v>564</v>
      </c>
      <c r="D1552" s="200">
        <f t="shared" si="676"/>
        <v>2.320176</v>
      </c>
      <c r="E1552" s="204">
        <f t="shared" si="677"/>
        <v>2.320176</v>
      </c>
      <c r="F1552" s="205">
        <v>2.320176</v>
      </c>
      <c r="G1552" s="205"/>
      <c r="H1552" s="205"/>
      <c r="I1552" s="204">
        <f t="shared" si="678"/>
        <v>0</v>
      </c>
      <c r="J1552" s="212"/>
      <c r="K1552" s="205"/>
      <c r="L1552" s="205"/>
      <c r="M1552" s="213"/>
      <c r="N1552" s="176">
        <f t="shared" si="679"/>
        <v>2.320176</v>
      </c>
    </row>
    <row r="1553" ht="26.25" hidden="1" customHeight="1" spans="1:14">
      <c r="A1553" s="202"/>
      <c r="B1553" s="203"/>
      <c r="C1553" s="203" t="s">
        <v>564</v>
      </c>
      <c r="D1553" s="200">
        <f t="shared" si="676"/>
        <v>4.191936</v>
      </c>
      <c r="E1553" s="204">
        <f t="shared" si="677"/>
        <v>4.191936</v>
      </c>
      <c r="F1553" s="205">
        <v>4.191936</v>
      </c>
      <c r="G1553" s="205"/>
      <c r="H1553" s="205"/>
      <c r="I1553" s="204">
        <f t="shared" si="678"/>
        <v>0</v>
      </c>
      <c r="J1553" s="212"/>
      <c r="K1553" s="205"/>
      <c r="L1553" s="205"/>
      <c r="M1553" s="213"/>
      <c r="N1553" s="176">
        <f t="shared" si="679"/>
        <v>4.191936</v>
      </c>
    </row>
    <row r="1554" ht="26.25" hidden="1" customHeight="1" spans="1:14">
      <c r="A1554" s="202"/>
      <c r="B1554" s="203"/>
      <c r="C1554" s="203" t="s">
        <v>564</v>
      </c>
      <c r="D1554" s="200">
        <f t="shared" si="676"/>
        <v>1.917696</v>
      </c>
      <c r="E1554" s="204">
        <f t="shared" si="677"/>
        <v>1.917696</v>
      </c>
      <c r="F1554" s="205">
        <v>1.917696</v>
      </c>
      <c r="G1554" s="205"/>
      <c r="H1554" s="205"/>
      <c r="I1554" s="204">
        <f t="shared" si="678"/>
        <v>0</v>
      </c>
      <c r="J1554" s="212"/>
      <c r="K1554" s="205"/>
      <c r="L1554" s="205"/>
      <c r="M1554" s="213"/>
      <c r="N1554" s="176">
        <f t="shared" si="679"/>
        <v>1.917696</v>
      </c>
    </row>
    <row r="1555" ht="26.25" hidden="1" customHeight="1" spans="1:14">
      <c r="A1555" s="202"/>
      <c r="B1555" s="203"/>
      <c r="C1555" s="203" t="s">
        <v>564</v>
      </c>
      <c r="D1555" s="200">
        <f t="shared" si="676"/>
        <v>2.105328</v>
      </c>
      <c r="E1555" s="204">
        <f t="shared" si="677"/>
        <v>2.105328</v>
      </c>
      <c r="F1555" s="205">
        <v>2.105328</v>
      </c>
      <c r="G1555" s="205"/>
      <c r="H1555" s="205"/>
      <c r="I1555" s="204">
        <f t="shared" si="678"/>
        <v>0</v>
      </c>
      <c r="J1555" s="212"/>
      <c r="K1555" s="205"/>
      <c r="L1555" s="205"/>
      <c r="M1555" s="213"/>
      <c r="N1555" s="176">
        <f t="shared" si="679"/>
        <v>2.105328</v>
      </c>
    </row>
    <row r="1556" ht="26.25" hidden="1" customHeight="1" spans="1:14">
      <c r="A1556" s="202"/>
      <c r="B1556" s="203"/>
      <c r="C1556" s="203" t="s">
        <v>564</v>
      </c>
      <c r="D1556" s="200">
        <f t="shared" si="676"/>
        <v>14.898864</v>
      </c>
      <c r="E1556" s="204">
        <f t="shared" si="677"/>
        <v>14.898864</v>
      </c>
      <c r="F1556" s="205">
        <v>14.898864</v>
      </c>
      <c r="G1556" s="205"/>
      <c r="H1556" s="205"/>
      <c r="I1556" s="204">
        <f t="shared" si="678"/>
        <v>0</v>
      </c>
      <c r="J1556" s="212"/>
      <c r="K1556" s="205"/>
      <c r="L1556" s="205"/>
      <c r="M1556" s="213"/>
      <c r="N1556" s="176">
        <f t="shared" si="679"/>
        <v>14.898864</v>
      </c>
    </row>
    <row r="1557" ht="26.25" hidden="1" customHeight="1" spans="1:14">
      <c r="A1557" s="202"/>
      <c r="B1557" s="203"/>
      <c r="C1557" s="203" t="s">
        <v>564</v>
      </c>
      <c r="D1557" s="200">
        <f t="shared" si="676"/>
        <v>2.643024</v>
      </c>
      <c r="E1557" s="204">
        <f t="shared" si="677"/>
        <v>2.643024</v>
      </c>
      <c r="F1557" s="205">
        <v>2.643024</v>
      </c>
      <c r="G1557" s="205"/>
      <c r="H1557" s="205"/>
      <c r="I1557" s="204">
        <f t="shared" si="678"/>
        <v>0</v>
      </c>
      <c r="J1557" s="212"/>
      <c r="K1557" s="205"/>
      <c r="L1557" s="205"/>
      <c r="M1557" s="213"/>
      <c r="N1557" s="176">
        <f t="shared" si="679"/>
        <v>2.643024</v>
      </c>
    </row>
    <row r="1558" ht="26.25" hidden="1" customHeight="1" spans="1:14">
      <c r="A1558" s="202"/>
      <c r="B1558" s="203"/>
      <c r="C1558" s="203" t="s">
        <v>565</v>
      </c>
      <c r="D1558" s="200">
        <f t="shared" si="676"/>
        <v>33.555684</v>
      </c>
      <c r="E1558" s="204">
        <f t="shared" si="677"/>
        <v>33.555684</v>
      </c>
      <c r="F1558" s="205">
        <v>33.555684</v>
      </c>
      <c r="G1558" s="205"/>
      <c r="H1558" s="205"/>
      <c r="I1558" s="204">
        <f t="shared" si="678"/>
        <v>0</v>
      </c>
      <c r="J1558" s="212"/>
      <c r="K1558" s="205"/>
      <c r="L1558" s="205"/>
      <c r="M1558" s="213"/>
      <c r="N1558" s="176">
        <f t="shared" si="679"/>
        <v>33.555684</v>
      </c>
    </row>
    <row r="1559" ht="26.25" hidden="1" customHeight="1" spans="1:14">
      <c r="A1559" s="202"/>
      <c r="B1559" s="203"/>
      <c r="C1559" s="203" t="s">
        <v>565</v>
      </c>
      <c r="D1559" s="200">
        <f t="shared" si="676"/>
        <v>4.484688</v>
      </c>
      <c r="E1559" s="204">
        <f t="shared" si="677"/>
        <v>4.484688</v>
      </c>
      <c r="F1559" s="205">
        <v>4.484688</v>
      </c>
      <c r="G1559" s="205"/>
      <c r="H1559" s="205"/>
      <c r="I1559" s="204">
        <f t="shared" si="678"/>
        <v>0</v>
      </c>
      <c r="J1559" s="212"/>
      <c r="K1559" s="205"/>
      <c r="L1559" s="205"/>
      <c r="M1559" s="213"/>
      <c r="N1559" s="176">
        <f t="shared" si="679"/>
        <v>4.484688</v>
      </c>
    </row>
    <row r="1560" ht="26.25" hidden="1" customHeight="1" spans="1:14">
      <c r="A1560" s="202"/>
      <c r="B1560" s="203"/>
      <c r="C1560" s="203" t="s">
        <v>565</v>
      </c>
      <c r="D1560" s="200">
        <f t="shared" si="676"/>
        <v>5.147616</v>
      </c>
      <c r="E1560" s="204">
        <f t="shared" si="677"/>
        <v>5.147616</v>
      </c>
      <c r="F1560" s="205">
        <v>5.147616</v>
      </c>
      <c r="G1560" s="205"/>
      <c r="H1560" s="205"/>
      <c r="I1560" s="204">
        <f t="shared" si="678"/>
        <v>0</v>
      </c>
      <c r="J1560" s="212"/>
      <c r="K1560" s="205"/>
      <c r="L1560" s="205"/>
      <c r="M1560" s="213"/>
      <c r="N1560" s="176">
        <f t="shared" si="679"/>
        <v>5.147616</v>
      </c>
    </row>
    <row r="1561" ht="26.25" hidden="1" customHeight="1" spans="1:14">
      <c r="A1561" s="202"/>
      <c r="B1561" s="203"/>
      <c r="C1561" s="203" t="s">
        <v>565</v>
      </c>
      <c r="D1561" s="200">
        <f t="shared" si="676"/>
        <v>2.138016</v>
      </c>
      <c r="E1561" s="204">
        <f t="shared" si="677"/>
        <v>2.138016</v>
      </c>
      <c r="F1561" s="205">
        <v>2.138016</v>
      </c>
      <c r="G1561" s="205"/>
      <c r="H1561" s="205"/>
      <c r="I1561" s="204">
        <f t="shared" si="678"/>
        <v>0</v>
      </c>
      <c r="J1561" s="212"/>
      <c r="K1561" s="205"/>
      <c r="L1561" s="205"/>
      <c r="M1561" s="213"/>
      <c r="N1561" s="176">
        <f t="shared" si="679"/>
        <v>2.138016</v>
      </c>
    </row>
    <row r="1562" ht="26.25" hidden="1" customHeight="1" spans="1:14">
      <c r="A1562" s="202"/>
      <c r="B1562" s="203"/>
      <c r="C1562" s="203" t="s">
        <v>565</v>
      </c>
      <c r="D1562" s="200">
        <f t="shared" si="676"/>
        <v>3.168576</v>
      </c>
      <c r="E1562" s="204">
        <f t="shared" si="677"/>
        <v>3.168576</v>
      </c>
      <c r="F1562" s="205">
        <v>3.168576</v>
      </c>
      <c r="G1562" s="205"/>
      <c r="H1562" s="205"/>
      <c r="I1562" s="204">
        <f t="shared" si="678"/>
        <v>0</v>
      </c>
      <c r="J1562" s="212"/>
      <c r="K1562" s="205"/>
      <c r="L1562" s="205"/>
      <c r="M1562" s="213"/>
      <c r="N1562" s="176">
        <f t="shared" si="679"/>
        <v>3.168576</v>
      </c>
    </row>
    <row r="1563" ht="26.25" hidden="1" customHeight="1" spans="1:14">
      <c r="A1563" s="202"/>
      <c r="B1563" s="203"/>
      <c r="C1563" s="203" t="s">
        <v>565</v>
      </c>
      <c r="D1563" s="200">
        <f t="shared" si="676"/>
        <v>1.03272</v>
      </c>
      <c r="E1563" s="204">
        <f t="shared" si="677"/>
        <v>1.03272</v>
      </c>
      <c r="F1563" s="205">
        <v>1.03272</v>
      </c>
      <c r="G1563" s="205"/>
      <c r="H1563" s="205"/>
      <c r="I1563" s="204">
        <f t="shared" si="678"/>
        <v>0</v>
      </c>
      <c r="J1563" s="212"/>
      <c r="K1563" s="205"/>
      <c r="L1563" s="205"/>
      <c r="M1563" s="213"/>
      <c r="N1563" s="176">
        <f t="shared" si="679"/>
        <v>1.03272</v>
      </c>
    </row>
    <row r="1564" ht="26.25" hidden="1" customHeight="1" spans="1:14">
      <c r="A1564" s="202"/>
      <c r="B1564" s="203"/>
      <c r="C1564" s="203" t="s">
        <v>565</v>
      </c>
      <c r="D1564" s="200">
        <f t="shared" si="676"/>
        <v>2.125488</v>
      </c>
      <c r="E1564" s="204">
        <f t="shared" si="677"/>
        <v>2.125488</v>
      </c>
      <c r="F1564" s="205">
        <v>2.125488</v>
      </c>
      <c r="G1564" s="205"/>
      <c r="H1564" s="205"/>
      <c r="I1564" s="204">
        <f t="shared" si="678"/>
        <v>0</v>
      </c>
      <c r="J1564" s="212"/>
      <c r="K1564" s="205"/>
      <c r="L1564" s="205"/>
      <c r="M1564" s="213"/>
      <c r="N1564" s="176">
        <f t="shared" si="679"/>
        <v>2.125488</v>
      </c>
    </row>
    <row r="1565" ht="26.25" hidden="1" customHeight="1" spans="1:14">
      <c r="A1565" s="202"/>
      <c r="B1565" s="203"/>
      <c r="C1565" s="203" t="s">
        <v>565</v>
      </c>
      <c r="D1565" s="200">
        <f t="shared" si="676"/>
        <v>9.263952</v>
      </c>
      <c r="E1565" s="204">
        <f t="shared" si="677"/>
        <v>9.263952</v>
      </c>
      <c r="F1565" s="205">
        <v>9.263952</v>
      </c>
      <c r="G1565" s="205"/>
      <c r="H1565" s="205"/>
      <c r="I1565" s="204">
        <f t="shared" si="678"/>
        <v>0</v>
      </c>
      <c r="J1565" s="212"/>
      <c r="K1565" s="205"/>
      <c r="L1565" s="205"/>
      <c r="M1565" s="213"/>
      <c r="N1565" s="176">
        <f t="shared" si="679"/>
        <v>9.263952</v>
      </c>
    </row>
    <row r="1566" ht="26.25" hidden="1" customHeight="1" spans="1:14">
      <c r="A1566" s="202"/>
      <c r="B1566" s="203"/>
      <c r="C1566" s="203" t="s">
        <v>565</v>
      </c>
      <c r="D1566" s="200">
        <f t="shared" si="676"/>
        <v>1.308912</v>
      </c>
      <c r="E1566" s="204">
        <f t="shared" si="677"/>
        <v>1.308912</v>
      </c>
      <c r="F1566" s="205">
        <v>1.308912</v>
      </c>
      <c r="G1566" s="205"/>
      <c r="H1566" s="205"/>
      <c r="I1566" s="204">
        <f t="shared" si="678"/>
        <v>0</v>
      </c>
      <c r="J1566" s="212"/>
      <c r="K1566" s="205"/>
      <c r="L1566" s="205"/>
      <c r="M1566" s="213"/>
      <c r="N1566" s="176">
        <f t="shared" si="679"/>
        <v>1.308912</v>
      </c>
    </row>
    <row r="1567" ht="26.25" hidden="1" customHeight="1" spans="1:14">
      <c r="A1567" s="202"/>
      <c r="B1567" s="203"/>
      <c r="C1567" s="203" t="s">
        <v>566</v>
      </c>
      <c r="D1567" s="200">
        <f t="shared" si="676"/>
        <v>51.35598</v>
      </c>
      <c r="E1567" s="204">
        <f t="shared" si="677"/>
        <v>51.35598</v>
      </c>
      <c r="F1567" s="205">
        <v>51.35598</v>
      </c>
      <c r="G1567" s="205"/>
      <c r="H1567" s="205"/>
      <c r="I1567" s="204">
        <f t="shared" si="678"/>
        <v>0</v>
      </c>
      <c r="J1567" s="212"/>
      <c r="K1567" s="205"/>
      <c r="L1567" s="205"/>
      <c r="M1567" s="213"/>
      <c r="N1567" s="176">
        <f t="shared" si="679"/>
        <v>51.35598</v>
      </c>
    </row>
    <row r="1568" ht="26.25" hidden="1" customHeight="1" spans="1:14">
      <c r="A1568" s="202"/>
      <c r="B1568" s="203"/>
      <c r="C1568" s="203" t="s">
        <v>566</v>
      </c>
      <c r="D1568" s="200">
        <f t="shared" si="676"/>
        <v>7.219632</v>
      </c>
      <c r="E1568" s="204">
        <f t="shared" si="677"/>
        <v>7.219632</v>
      </c>
      <c r="F1568" s="205">
        <v>7.219632</v>
      </c>
      <c r="G1568" s="205"/>
      <c r="H1568" s="205"/>
      <c r="I1568" s="204">
        <f t="shared" si="678"/>
        <v>0</v>
      </c>
      <c r="J1568" s="212"/>
      <c r="K1568" s="205"/>
      <c r="L1568" s="205"/>
      <c r="M1568" s="213"/>
      <c r="N1568" s="176">
        <f t="shared" si="679"/>
        <v>7.219632</v>
      </c>
    </row>
    <row r="1569" ht="26.25" hidden="1" customHeight="1" spans="1:14">
      <c r="A1569" s="202"/>
      <c r="B1569" s="203"/>
      <c r="C1569" s="203" t="s">
        <v>566</v>
      </c>
      <c r="D1569" s="200">
        <f t="shared" si="676"/>
        <v>9.15696</v>
      </c>
      <c r="E1569" s="204">
        <f t="shared" si="677"/>
        <v>9.15696</v>
      </c>
      <c r="F1569" s="205">
        <v>9.15696</v>
      </c>
      <c r="G1569" s="205"/>
      <c r="H1569" s="205"/>
      <c r="I1569" s="204">
        <f t="shared" si="678"/>
        <v>0</v>
      </c>
      <c r="J1569" s="212"/>
      <c r="K1569" s="205"/>
      <c r="L1569" s="205"/>
      <c r="M1569" s="213"/>
      <c r="N1569" s="176">
        <f t="shared" si="679"/>
        <v>9.15696</v>
      </c>
    </row>
    <row r="1570" ht="26.25" hidden="1" customHeight="1" spans="1:14">
      <c r="A1570" s="202"/>
      <c r="B1570" s="203"/>
      <c r="C1570" s="203" t="s">
        <v>566</v>
      </c>
      <c r="D1570" s="200">
        <f t="shared" si="676"/>
        <v>2.192448</v>
      </c>
      <c r="E1570" s="204">
        <f t="shared" si="677"/>
        <v>2.192448</v>
      </c>
      <c r="F1570" s="205">
        <v>2.192448</v>
      </c>
      <c r="G1570" s="205"/>
      <c r="H1570" s="205"/>
      <c r="I1570" s="204">
        <f t="shared" si="678"/>
        <v>0</v>
      </c>
      <c r="J1570" s="212"/>
      <c r="K1570" s="205"/>
      <c r="L1570" s="205"/>
      <c r="M1570" s="213"/>
      <c r="N1570" s="176">
        <f t="shared" si="679"/>
        <v>2.192448</v>
      </c>
    </row>
    <row r="1571" ht="26.25" hidden="1" customHeight="1" spans="1:14">
      <c r="A1571" s="202"/>
      <c r="B1571" s="203"/>
      <c r="C1571" s="203" t="s">
        <v>566</v>
      </c>
      <c r="D1571" s="200">
        <f t="shared" si="676"/>
        <v>5.374464</v>
      </c>
      <c r="E1571" s="204">
        <f t="shared" si="677"/>
        <v>5.374464</v>
      </c>
      <c r="F1571" s="205">
        <v>5.374464</v>
      </c>
      <c r="G1571" s="205"/>
      <c r="H1571" s="205"/>
      <c r="I1571" s="204">
        <f t="shared" si="678"/>
        <v>0</v>
      </c>
      <c r="J1571" s="212"/>
      <c r="K1571" s="205"/>
      <c r="L1571" s="205"/>
      <c r="M1571" s="213"/>
      <c r="N1571" s="176">
        <f t="shared" si="679"/>
        <v>5.374464</v>
      </c>
    </row>
    <row r="1572" ht="26.25" hidden="1" customHeight="1" spans="1:14">
      <c r="A1572" s="202"/>
      <c r="B1572" s="203"/>
      <c r="C1572" s="203" t="s">
        <v>566</v>
      </c>
      <c r="D1572" s="200">
        <f t="shared" si="676"/>
        <v>8.031936</v>
      </c>
      <c r="E1572" s="204">
        <f t="shared" si="677"/>
        <v>8.031936</v>
      </c>
      <c r="F1572" s="205">
        <v>8.031936</v>
      </c>
      <c r="G1572" s="205"/>
      <c r="H1572" s="205"/>
      <c r="I1572" s="204">
        <f t="shared" si="678"/>
        <v>0</v>
      </c>
      <c r="J1572" s="212"/>
      <c r="K1572" s="205"/>
      <c r="L1572" s="205"/>
      <c r="M1572" s="213"/>
      <c r="N1572" s="176">
        <f t="shared" si="679"/>
        <v>8.031936</v>
      </c>
    </row>
    <row r="1573" ht="26.25" hidden="1" customHeight="1" spans="1:14">
      <c r="A1573" s="202"/>
      <c r="B1573" s="203"/>
      <c r="C1573" s="203" t="s">
        <v>566</v>
      </c>
      <c r="D1573" s="200">
        <f t="shared" si="676"/>
        <v>3.7476</v>
      </c>
      <c r="E1573" s="204">
        <f t="shared" si="677"/>
        <v>3.7476</v>
      </c>
      <c r="F1573" s="205">
        <v>3.7476</v>
      </c>
      <c r="G1573" s="205"/>
      <c r="H1573" s="205"/>
      <c r="I1573" s="204">
        <f t="shared" si="678"/>
        <v>0</v>
      </c>
      <c r="J1573" s="212"/>
      <c r="K1573" s="205"/>
      <c r="L1573" s="205"/>
      <c r="M1573" s="213"/>
      <c r="N1573" s="176">
        <f t="shared" si="679"/>
        <v>3.7476</v>
      </c>
    </row>
    <row r="1574" ht="26.25" hidden="1" customHeight="1" spans="1:14">
      <c r="A1574" s="202"/>
      <c r="B1574" s="203"/>
      <c r="C1574" s="203" t="s">
        <v>566</v>
      </c>
      <c r="D1574" s="200">
        <f t="shared" si="676"/>
        <v>3.264768</v>
      </c>
      <c r="E1574" s="204">
        <f t="shared" si="677"/>
        <v>3.264768</v>
      </c>
      <c r="F1574" s="205">
        <v>3.264768</v>
      </c>
      <c r="G1574" s="205"/>
      <c r="H1574" s="205"/>
      <c r="I1574" s="204">
        <f t="shared" si="678"/>
        <v>0</v>
      </c>
      <c r="J1574" s="212"/>
      <c r="K1574" s="205"/>
      <c r="L1574" s="205"/>
      <c r="M1574" s="213"/>
      <c r="N1574" s="176">
        <f t="shared" si="679"/>
        <v>3.264768</v>
      </c>
    </row>
    <row r="1575" ht="26.25" hidden="1" customHeight="1" spans="1:14">
      <c r="A1575" s="202"/>
      <c r="B1575" s="203"/>
      <c r="C1575" s="203" t="s">
        <v>567</v>
      </c>
      <c r="D1575" s="200">
        <f t="shared" si="676"/>
        <v>44.513808</v>
      </c>
      <c r="E1575" s="204">
        <f t="shared" si="677"/>
        <v>44.513808</v>
      </c>
      <c r="F1575" s="205">
        <v>44.513808</v>
      </c>
      <c r="G1575" s="205"/>
      <c r="H1575" s="205"/>
      <c r="I1575" s="204">
        <f t="shared" si="678"/>
        <v>0</v>
      </c>
      <c r="J1575" s="212"/>
      <c r="K1575" s="205"/>
      <c r="L1575" s="205"/>
      <c r="M1575" s="213"/>
      <c r="N1575" s="176">
        <f t="shared" si="679"/>
        <v>44.513808</v>
      </c>
    </row>
    <row r="1576" ht="26.25" hidden="1" customHeight="1" spans="1:14">
      <c r="A1576" s="202"/>
      <c r="B1576" s="203"/>
      <c r="C1576" s="203" t="s">
        <v>567</v>
      </c>
      <c r="D1576" s="200">
        <f t="shared" si="676"/>
        <v>4.147872</v>
      </c>
      <c r="E1576" s="204">
        <f t="shared" si="677"/>
        <v>4.147872</v>
      </c>
      <c r="F1576" s="205">
        <v>4.147872</v>
      </c>
      <c r="G1576" s="205"/>
      <c r="H1576" s="205"/>
      <c r="I1576" s="204">
        <f t="shared" si="678"/>
        <v>0</v>
      </c>
      <c r="J1576" s="212"/>
      <c r="K1576" s="205"/>
      <c r="L1576" s="205"/>
      <c r="M1576" s="213"/>
      <c r="N1576" s="176">
        <f t="shared" si="679"/>
        <v>4.147872</v>
      </c>
    </row>
    <row r="1577" ht="26.25" hidden="1" customHeight="1" spans="1:14">
      <c r="A1577" s="202"/>
      <c r="B1577" s="203"/>
      <c r="C1577" s="203" t="s">
        <v>567</v>
      </c>
      <c r="D1577" s="200">
        <f t="shared" si="676"/>
        <v>7.299312</v>
      </c>
      <c r="E1577" s="204">
        <f t="shared" si="677"/>
        <v>7.299312</v>
      </c>
      <c r="F1577" s="205">
        <v>7.299312</v>
      </c>
      <c r="G1577" s="205"/>
      <c r="H1577" s="205"/>
      <c r="I1577" s="204">
        <f t="shared" si="678"/>
        <v>0</v>
      </c>
      <c r="J1577" s="212"/>
      <c r="K1577" s="205"/>
      <c r="L1577" s="205"/>
      <c r="M1577" s="213"/>
      <c r="N1577" s="176">
        <f t="shared" si="679"/>
        <v>7.299312</v>
      </c>
    </row>
    <row r="1578" ht="26.25" hidden="1" customHeight="1" spans="1:14">
      <c r="A1578" s="202"/>
      <c r="B1578" s="203"/>
      <c r="C1578" s="203" t="s">
        <v>567</v>
      </c>
      <c r="D1578" s="200">
        <f t="shared" si="676"/>
        <v>2.264736</v>
      </c>
      <c r="E1578" s="204">
        <f t="shared" si="677"/>
        <v>2.264736</v>
      </c>
      <c r="F1578" s="205">
        <v>2.264736</v>
      </c>
      <c r="G1578" s="205"/>
      <c r="H1578" s="205"/>
      <c r="I1578" s="204">
        <f t="shared" si="678"/>
        <v>0</v>
      </c>
      <c r="J1578" s="212"/>
      <c r="K1578" s="205"/>
      <c r="L1578" s="205"/>
      <c r="M1578" s="213"/>
      <c r="N1578" s="176">
        <f t="shared" si="679"/>
        <v>2.264736</v>
      </c>
    </row>
    <row r="1579" ht="26.25" hidden="1" customHeight="1" spans="1:14">
      <c r="A1579" s="202"/>
      <c r="B1579" s="203"/>
      <c r="C1579" s="203" t="s">
        <v>567</v>
      </c>
      <c r="D1579" s="200">
        <f t="shared" si="676"/>
        <v>4.081056</v>
      </c>
      <c r="E1579" s="204">
        <f t="shared" si="677"/>
        <v>4.081056</v>
      </c>
      <c r="F1579" s="205">
        <v>4.081056</v>
      </c>
      <c r="G1579" s="205"/>
      <c r="H1579" s="205"/>
      <c r="I1579" s="204">
        <f t="shared" si="678"/>
        <v>0</v>
      </c>
      <c r="J1579" s="212"/>
      <c r="K1579" s="205"/>
      <c r="L1579" s="205"/>
      <c r="M1579" s="213"/>
      <c r="N1579" s="176">
        <f t="shared" si="679"/>
        <v>4.081056</v>
      </c>
    </row>
    <row r="1580" ht="26.25" hidden="1" customHeight="1" spans="1:14">
      <c r="A1580" s="202"/>
      <c r="B1580" s="203"/>
      <c r="C1580" s="203" t="s">
        <v>567</v>
      </c>
      <c r="D1580" s="200">
        <f t="shared" si="676"/>
        <v>3.348864</v>
      </c>
      <c r="E1580" s="204">
        <f t="shared" si="677"/>
        <v>3.348864</v>
      </c>
      <c r="F1580" s="205">
        <v>3.348864</v>
      </c>
      <c r="G1580" s="205"/>
      <c r="H1580" s="205"/>
      <c r="I1580" s="204">
        <f t="shared" si="678"/>
        <v>0</v>
      </c>
      <c r="J1580" s="212"/>
      <c r="K1580" s="205"/>
      <c r="L1580" s="205"/>
      <c r="M1580" s="213"/>
      <c r="N1580" s="176">
        <f t="shared" si="679"/>
        <v>3.348864</v>
      </c>
    </row>
    <row r="1581" ht="26.25" hidden="1" customHeight="1" spans="1:14">
      <c r="A1581" s="202"/>
      <c r="B1581" s="203"/>
      <c r="C1581" s="203" t="s">
        <v>567</v>
      </c>
      <c r="D1581" s="200">
        <f t="shared" si="676"/>
        <v>2.3772</v>
      </c>
      <c r="E1581" s="204">
        <f t="shared" si="677"/>
        <v>2.3772</v>
      </c>
      <c r="F1581" s="205">
        <v>2.3772</v>
      </c>
      <c r="G1581" s="205"/>
      <c r="H1581" s="205"/>
      <c r="I1581" s="204">
        <f t="shared" si="678"/>
        <v>0</v>
      </c>
      <c r="J1581" s="212"/>
      <c r="K1581" s="205"/>
      <c r="L1581" s="205"/>
      <c r="M1581" s="213"/>
      <c r="N1581" s="176">
        <f t="shared" si="679"/>
        <v>2.3772</v>
      </c>
    </row>
    <row r="1582" ht="26.25" hidden="1" customHeight="1" spans="1:14">
      <c r="A1582" s="202"/>
      <c r="B1582" s="203"/>
      <c r="C1582" s="203" t="s">
        <v>567</v>
      </c>
      <c r="D1582" s="200">
        <f t="shared" si="676"/>
        <v>12.51288</v>
      </c>
      <c r="E1582" s="204">
        <f t="shared" si="677"/>
        <v>12.51288</v>
      </c>
      <c r="F1582" s="205">
        <v>12.51288</v>
      </c>
      <c r="G1582" s="205"/>
      <c r="H1582" s="205"/>
      <c r="I1582" s="204">
        <f t="shared" si="678"/>
        <v>0</v>
      </c>
      <c r="J1582" s="212"/>
      <c r="K1582" s="205"/>
      <c r="L1582" s="205"/>
      <c r="M1582" s="213"/>
      <c r="N1582" s="176">
        <f t="shared" si="679"/>
        <v>12.51288</v>
      </c>
    </row>
    <row r="1583" ht="26.25" hidden="1" customHeight="1" spans="1:14">
      <c r="A1583" s="202"/>
      <c r="B1583" s="203"/>
      <c r="C1583" s="203" t="s">
        <v>568</v>
      </c>
      <c r="D1583" s="200">
        <f t="shared" si="676"/>
        <v>46.763496</v>
      </c>
      <c r="E1583" s="204">
        <f t="shared" si="677"/>
        <v>46.763496</v>
      </c>
      <c r="F1583" s="205">
        <v>46.763496</v>
      </c>
      <c r="G1583" s="205"/>
      <c r="H1583" s="205"/>
      <c r="I1583" s="204">
        <f t="shared" si="678"/>
        <v>0</v>
      </c>
      <c r="J1583" s="212"/>
      <c r="K1583" s="205"/>
      <c r="L1583" s="205"/>
      <c r="M1583" s="213"/>
      <c r="N1583" s="176">
        <f t="shared" si="679"/>
        <v>46.763496</v>
      </c>
    </row>
    <row r="1584" ht="26.25" hidden="1" customHeight="1" spans="1:14">
      <c r="A1584" s="202"/>
      <c r="B1584" s="203"/>
      <c r="C1584" s="203" t="s">
        <v>568</v>
      </c>
      <c r="D1584" s="200">
        <f t="shared" si="676"/>
        <v>7.361844</v>
      </c>
      <c r="E1584" s="204">
        <f t="shared" si="677"/>
        <v>7.361844</v>
      </c>
      <c r="F1584" s="205">
        <v>7.361844</v>
      </c>
      <c r="G1584" s="205"/>
      <c r="H1584" s="205"/>
      <c r="I1584" s="204">
        <f t="shared" si="678"/>
        <v>0</v>
      </c>
      <c r="J1584" s="212"/>
      <c r="K1584" s="205"/>
      <c r="L1584" s="205"/>
      <c r="M1584" s="213"/>
      <c r="N1584" s="176">
        <f t="shared" si="679"/>
        <v>7.361844</v>
      </c>
    </row>
    <row r="1585" ht="26.25" hidden="1" customHeight="1" spans="1:14">
      <c r="A1585" s="202"/>
      <c r="B1585" s="203"/>
      <c r="C1585" s="203" t="s">
        <v>568</v>
      </c>
      <c r="D1585" s="200">
        <f t="shared" si="676"/>
        <v>12.148992</v>
      </c>
      <c r="E1585" s="204">
        <f t="shared" si="677"/>
        <v>12.148992</v>
      </c>
      <c r="F1585" s="205">
        <v>12.148992</v>
      </c>
      <c r="G1585" s="205"/>
      <c r="H1585" s="205"/>
      <c r="I1585" s="204">
        <f t="shared" si="678"/>
        <v>0</v>
      </c>
      <c r="J1585" s="212"/>
      <c r="K1585" s="205"/>
      <c r="L1585" s="205"/>
      <c r="M1585" s="213"/>
      <c r="N1585" s="176">
        <f t="shared" si="679"/>
        <v>12.148992</v>
      </c>
    </row>
    <row r="1586" ht="26.25" hidden="1" customHeight="1" spans="1:14">
      <c r="A1586" s="202"/>
      <c r="B1586" s="203"/>
      <c r="C1586" s="203" t="s">
        <v>568</v>
      </c>
      <c r="D1586" s="200">
        <f t="shared" si="676"/>
        <v>2.063424</v>
      </c>
      <c r="E1586" s="204">
        <f t="shared" si="677"/>
        <v>2.063424</v>
      </c>
      <c r="F1586" s="205">
        <v>2.063424</v>
      </c>
      <c r="G1586" s="205"/>
      <c r="H1586" s="205"/>
      <c r="I1586" s="204">
        <f t="shared" si="678"/>
        <v>0</v>
      </c>
      <c r="J1586" s="212"/>
      <c r="K1586" s="205"/>
      <c r="L1586" s="205"/>
      <c r="M1586" s="213"/>
      <c r="N1586" s="176">
        <f t="shared" si="679"/>
        <v>2.063424</v>
      </c>
    </row>
    <row r="1587" ht="26.25" hidden="1" customHeight="1" spans="1:14">
      <c r="A1587" s="202"/>
      <c r="B1587" s="203"/>
      <c r="C1587" s="203" t="s">
        <v>568</v>
      </c>
      <c r="D1587" s="200">
        <f t="shared" si="676"/>
        <v>6.3156</v>
      </c>
      <c r="E1587" s="204">
        <f t="shared" si="677"/>
        <v>6.3156</v>
      </c>
      <c r="F1587" s="205">
        <v>6.3156</v>
      </c>
      <c r="G1587" s="205"/>
      <c r="H1587" s="205"/>
      <c r="I1587" s="204">
        <f t="shared" si="678"/>
        <v>0</v>
      </c>
      <c r="J1587" s="212"/>
      <c r="K1587" s="205"/>
      <c r="L1587" s="205"/>
      <c r="M1587" s="213"/>
      <c r="N1587" s="176">
        <f t="shared" si="679"/>
        <v>6.3156</v>
      </c>
    </row>
    <row r="1588" ht="26.25" hidden="1" customHeight="1" spans="1:14">
      <c r="A1588" s="202"/>
      <c r="B1588" s="203"/>
      <c r="C1588" s="203" t="s">
        <v>568</v>
      </c>
      <c r="D1588" s="200">
        <f t="shared" si="676"/>
        <v>3.244176</v>
      </c>
      <c r="E1588" s="204">
        <f t="shared" si="677"/>
        <v>3.244176</v>
      </c>
      <c r="F1588" s="205">
        <v>3.244176</v>
      </c>
      <c r="G1588" s="205"/>
      <c r="H1588" s="205"/>
      <c r="I1588" s="204">
        <f t="shared" si="678"/>
        <v>0</v>
      </c>
      <c r="J1588" s="212"/>
      <c r="K1588" s="205"/>
      <c r="L1588" s="205"/>
      <c r="M1588" s="213"/>
      <c r="N1588" s="176">
        <f t="shared" si="679"/>
        <v>3.244176</v>
      </c>
    </row>
    <row r="1589" ht="26.25" hidden="1" customHeight="1" spans="1:14">
      <c r="A1589" s="202"/>
      <c r="B1589" s="203"/>
      <c r="C1589" s="203" t="s">
        <v>568</v>
      </c>
      <c r="D1589" s="200">
        <f t="shared" si="676"/>
        <v>15.051168</v>
      </c>
      <c r="E1589" s="204">
        <f t="shared" si="677"/>
        <v>15.051168</v>
      </c>
      <c r="F1589" s="205">
        <v>15.051168</v>
      </c>
      <c r="G1589" s="205"/>
      <c r="H1589" s="205"/>
      <c r="I1589" s="204">
        <f t="shared" si="678"/>
        <v>0</v>
      </c>
      <c r="J1589" s="212"/>
      <c r="K1589" s="205"/>
      <c r="L1589" s="205"/>
      <c r="M1589" s="213"/>
      <c r="N1589" s="176">
        <f t="shared" si="679"/>
        <v>15.051168</v>
      </c>
    </row>
    <row r="1590" ht="26.25" hidden="1" customHeight="1" spans="1:14">
      <c r="A1590" s="202"/>
      <c r="B1590" s="203"/>
      <c r="C1590" s="203" t="s">
        <v>569</v>
      </c>
      <c r="D1590" s="200">
        <f t="shared" si="676"/>
        <v>39.211428</v>
      </c>
      <c r="E1590" s="204">
        <f t="shared" si="677"/>
        <v>39.211428</v>
      </c>
      <c r="F1590" s="205">
        <v>39.211428</v>
      </c>
      <c r="G1590" s="205"/>
      <c r="H1590" s="205"/>
      <c r="I1590" s="204">
        <f t="shared" si="678"/>
        <v>0</v>
      </c>
      <c r="J1590" s="212"/>
      <c r="K1590" s="205"/>
      <c r="L1590" s="205"/>
      <c r="M1590" s="213"/>
      <c r="N1590" s="176">
        <f t="shared" si="679"/>
        <v>39.211428</v>
      </c>
    </row>
    <row r="1591" ht="26.25" hidden="1" customHeight="1" spans="1:14">
      <c r="A1591" s="202"/>
      <c r="B1591" s="203"/>
      <c r="C1591" s="203" t="s">
        <v>569</v>
      </c>
      <c r="D1591" s="200">
        <f t="shared" si="676"/>
        <v>3.301692</v>
      </c>
      <c r="E1591" s="204">
        <f t="shared" si="677"/>
        <v>3.301692</v>
      </c>
      <c r="F1591" s="205">
        <v>3.301692</v>
      </c>
      <c r="G1591" s="205"/>
      <c r="H1591" s="205"/>
      <c r="I1591" s="204">
        <f t="shared" si="678"/>
        <v>0</v>
      </c>
      <c r="J1591" s="212"/>
      <c r="K1591" s="205"/>
      <c r="L1591" s="205"/>
      <c r="M1591" s="213"/>
      <c r="N1591" s="176">
        <f t="shared" si="679"/>
        <v>3.301692</v>
      </c>
    </row>
    <row r="1592" ht="26.25" hidden="1" customHeight="1" spans="1:14">
      <c r="A1592" s="202"/>
      <c r="B1592" s="203"/>
      <c r="C1592" s="203" t="s">
        <v>569</v>
      </c>
      <c r="D1592" s="200">
        <f t="shared" si="676"/>
        <v>3.958656</v>
      </c>
      <c r="E1592" s="204">
        <f t="shared" si="677"/>
        <v>3.958656</v>
      </c>
      <c r="F1592" s="205">
        <v>3.958656</v>
      </c>
      <c r="G1592" s="205"/>
      <c r="H1592" s="205"/>
      <c r="I1592" s="204">
        <f t="shared" si="678"/>
        <v>0</v>
      </c>
      <c r="J1592" s="212"/>
      <c r="K1592" s="205"/>
      <c r="L1592" s="205"/>
      <c r="M1592" s="213"/>
      <c r="N1592" s="176">
        <f t="shared" si="679"/>
        <v>3.958656</v>
      </c>
    </row>
    <row r="1593" ht="26.25" hidden="1" customHeight="1" spans="1:14">
      <c r="A1593" s="202"/>
      <c r="B1593" s="203"/>
      <c r="C1593" s="203" t="s">
        <v>569</v>
      </c>
      <c r="D1593" s="200">
        <f t="shared" si="676"/>
        <v>3.217392</v>
      </c>
      <c r="E1593" s="204">
        <f t="shared" si="677"/>
        <v>3.217392</v>
      </c>
      <c r="F1593" s="205">
        <v>3.217392</v>
      </c>
      <c r="G1593" s="205"/>
      <c r="H1593" s="205"/>
      <c r="I1593" s="204">
        <f t="shared" si="678"/>
        <v>0</v>
      </c>
      <c r="J1593" s="212"/>
      <c r="K1593" s="205"/>
      <c r="L1593" s="205"/>
      <c r="M1593" s="213"/>
      <c r="N1593" s="176">
        <f t="shared" si="679"/>
        <v>3.217392</v>
      </c>
    </row>
    <row r="1594" ht="26.25" hidden="1" customHeight="1" spans="1:14">
      <c r="A1594" s="202"/>
      <c r="B1594" s="203"/>
      <c r="C1594" s="203" t="s">
        <v>569</v>
      </c>
      <c r="D1594" s="200">
        <f t="shared" si="676"/>
        <v>6.836928</v>
      </c>
      <c r="E1594" s="204">
        <f t="shared" si="677"/>
        <v>6.836928</v>
      </c>
      <c r="F1594" s="205">
        <v>6.836928</v>
      </c>
      <c r="G1594" s="205"/>
      <c r="H1594" s="205"/>
      <c r="I1594" s="204">
        <f t="shared" si="678"/>
        <v>0</v>
      </c>
      <c r="J1594" s="212"/>
      <c r="K1594" s="205"/>
      <c r="L1594" s="205"/>
      <c r="M1594" s="213"/>
      <c r="N1594" s="176">
        <f t="shared" si="679"/>
        <v>6.836928</v>
      </c>
    </row>
    <row r="1595" ht="26.25" hidden="1" customHeight="1" spans="1:14">
      <c r="A1595" s="202"/>
      <c r="B1595" s="203"/>
      <c r="C1595" s="203" t="s">
        <v>570</v>
      </c>
      <c r="D1595" s="200">
        <f t="shared" si="676"/>
        <v>34.806492</v>
      </c>
      <c r="E1595" s="204">
        <f t="shared" si="677"/>
        <v>34.806492</v>
      </c>
      <c r="F1595" s="205">
        <v>34.806492</v>
      </c>
      <c r="G1595" s="205"/>
      <c r="H1595" s="205"/>
      <c r="I1595" s="204">
        <f t="shared" si="678"/>
        <v>0</v>
      </c>
      <c r="J1595" s="212"/>
      <c r="K1595" s="205"/>
      <c r="L1595" s="205"/>
      <c r="M1595" s="213"/>
      <c r="N1595" s="176">
        <f t="shared" si="679"/>
        <v>34.806492</v>
      </c>
    </row>
    <row r="1596" ht="26.25" hidden="1" customHeight="1" spans="1:14">
      <c r="A1596" s="202"/>
      <c r="B1596" s="203"/>
      <c r="C1596" s="203" t="s">
        <v>570</v>
      </c>
      <c r="D1596" s="200">
        <f t="shared" si="676"/>
        <v>4.228056</v>
      </c>
      <c r="E1596" s="204">
        <f t="shared" si="677"/>
        <v>4.228056</v>
      </c>
      <c r="F1596" s="205">
        <v>4.228056</v>
      </c>
      <c r="G1596" s="205"/>
      <c r="H1596" s="205"/>
      <c r="I1596" s="204">
        <f t="shared" si="678"/>
        <v>0</v>
      </c>
      <c r="J1596" s="212"/>
      <c r="K1596" s="205"/>
      <c r="L1596" s="205"/>
      <c r="M1596" s="213"/>
      <c r="N1596" s="176">
        <f t="shared" si="679"/>
        <v>4.228056</v>
      </c>
    </row>
    <row r="1597" ht="26.25" hidden="1" customHeight="1" spans="1:14">
      <c r="A1597" s="202"/>
      <c r="B1597" s="203"/>
      <c r="C1597" s="203" t="s">
        <v>570</v>
      </c>
      <c r="D1597" s="200">
        <f t="shared" si="676"/>
        <v>4.984752</v>
      </c>
      <c r="E1597" s="204">
        <f t="shared" si="677"/>
        <v>4.984752</v>
      </c>
      <c r="F1597" s="205">
        <v>4.984752</v>
      </c>
      <c r="G1597" s="205"/>
      <c r="H1597" s="205"/>
      <c r="I1597" s="204">
        <f t="shared" si="678"/>
        <v>0</v>
      </c>
      <c r="J1597" s="212"/>
      <c r="K1597" s="205"/>
      <c r="L1597" s="205"/>
      <c r="M1597" s="213"/>
      <c r="N1597" s="176">
        <f t="shared" si="679"/>
        <v>4.984752</v>
      </c>
    </row>
    <row r="1598" ht="26.25" hidden="1" customHeight="1" spans="1:14">
      <c r="A1598" s="202"/>
      <c r="B1598" s="203"/>
      <c r="C1598" s="203" t="s">
        <v>570</v>
      </c>
      <c r="D1598" s="200">
        <f t="shared" si="676"/>
        <v>2.078256</v>
      </c>
      <c r="E1598" s="204">
        <f t="shared" si="677"/>
        <v>2.078256</v>
      </c>
      <c r="F1598" s="205">
        <v>2.078256</v>
      </c>
      <c r="G1598" s="205"/>
      <c r="H1598" s="205"/>
      <c r="I1598" s="204">
        <f t="shared" si="678"/>
        <v>0</v>
      </c>
      <c r="J1598" s="212"/>
      <c r="K1598" s="205"/>
      <c r="L1598" s="205"/>
      <c r="M1598" s="213"/>
      <c r="N1598" s="176">
        <f t="shared" si="679"/>
        <v>2.078256</v>
      </c>
    </row>
    <row r="1599" ht="26.25" hidden="1" customHeight="1" spans="1:14">
      <c r="A1599" s="202"/>
      <c r="B1599" s="203"/>
      <c r="C1599" s="203" t="s">
        <v>570</v>
      </c>
      <c r="D1599" s="200">
        <f t="shared" si="676"/>
        <v>0.975408</v>
      </c>
      <c r="E1599" s="204">
        <f t="shared" si="677"/>
        <v>0.975408</v>
      </c>
      <c r="F1599" s="205">
        <v>0.975408</v>
      </c>
      <c r="G1599" s="205"/>
      <c r="H1599" s="205"/>
      <c r="I1599" s="204">
        <f t="shared" si="678"/>
        <v>0</v>
      </c>
      <c r="J1599" s="212"/>
      <c r="K1599" s="205"/>
      <c r="L1599" s="205"/>
      <c r="M1599" s="213"/>
      <c r="N1599" s="176">
        <f t="shared" si="679"/>
        <v>0.975408</v>
      </c>
    </row>
    <row r="1600" ht="26.25" hidden="1" customHeight="1" spans="1:14">
      <c r="A1600" s="202"/>
      <c r="B1600" s="203"/>
      <c r="C1600" s="203" t="s">
        <v>570</v>
      </c>
      <c r="D1600" s="200">
        <f t="shared" si="676"/>
        <v>0.968784</v>
      </c>
      <c r="E1600" s="204">
        <f t="shared" si="677"/>
        <v>0.968784</v>
      </c>
      <c r="F1600" s="205">
        <v>0.968784</v>
      </c>
      <c r="G1600" s="205"/>
      <c r="H1600" s="205"/>
      <c r="I1600" s="204">
        <f t="shared" si="678"/>
        <v>0</v>
      </c>
      <c r="J1600" s="212"/>
      <c r="K1600" s="205"/>
      <c r="L1600" s="205"/>
      <c r="M1600" s="213"/>
      <c r="N1600" s="176">
        <f t="shared" si="679"/>
        <v>0.968784</v>
      </c>
    </row>
    <row r="1601" ht="26.25" hidden="1" customHeight="1" spans="1:14">
      <c r="A1601" s="202"/>
      <c r="B1601" s="203"/>
      <c r="C1601" s="203" t="s">
        <v>570</v>
      </c>
      <c r="D1601" s="200">
        <f t="shared" si="676"/>
        <v>2.226432</v>
      </c>
      <c r="E1601" s="204">
        <f t="shared" si="677"/>
        <v>2.226432</v>
      </c>
      <c r="F1601" s="205">
        <v>2.226432</v>
      </c>
      <c r="G1601" s="205"/>
      <c r="H1601" s="205"/>
      <c r="I1601" s="204">
        <f t="shared" si="678"/>
        <v>0</v>
      </c>
      <c r="J1601" s="212"/>
      <c r="K1601" s="205"/>
      <c r="L1601" s="205"/>
      <c r="M1601" s="213"/>
      <c r="N1601" s="176">
        <f t="shared" si="679"/>
        <v>2.226432</v>
      </c>
    </row>
    <row r="1602" ht="26.25" hidden="1" customHeight="1" spans="1:14">
      <c r="A1602" s="202"/>
      <c r="B1602" s="203"/>
      <c r="C1602" s="203" t="s">
        <v>570</v>
      </c>
      <c r="D1602" s="200">
        <f t="shared" si="676"/>
        <v>8.168448</v>
      </c>
      <c r="E1602" s="204">
        <f t="shared" si="677"/>
        <v>8.168448</v>
      </c>
      <c r="F1602" s="205">
        <v>8.168448</v>
      </c>
      <c r="G1602" s="205"/>
      <c r="H1602" s="205"/>
      <c r="I1602" s="204">
        <f t="shared" si="678"/>
        <v>0</v>
      </c>
      <c r="J1602" s="212"/>
      <c r="K1602" s="205"/>
      <c r="L1602" s="205"/>
      <c r="M1602" s="213"/>
      <c r="N1602" s="176">
        <f t="shared" si="679"/>
        <v>8.168448</v>
      </c>
    </row>
    <row r="1603" ht="26.25" hidden="1" customHeight="1" spans="1:14">
      <c r="A1603" s="202"/>
      <c r="B1603" s="203"/>
      <c r="C1603" s="203" t="s">
        <v>570</v>
      </c>
      <c r="D1603" s="200">
        <f t="shared" ref="D1603:D1637" si="680">E1603+I1603</f>
        <v>2.338464</v>
      </c>
      <c r="E1603" s="204">
        <f t="shared" ref="E1603:E1637" si="681">SUM(F1603:H1603)</f>
        <v>2.338464</v>
      </c>
      <c r="F1603" s="205">
        <v>2.338464</v>
      </c>
      <c r="G1603" s="205"/>
      <c r="H1603" s="205"/>
      <c r="I1603" s="204">
        <f t="shared" ref="I1603:I1637" si="682">SUM(J1603:L1603)</f>
        <v>0</v>
      </c>
      <c r="J1603" s="212"/>
      <c r="K1603" s="205"/>
      <c r="L1603" s="205"/>
      <c r="M1603" s="213"/>
      <c r="N1603" s="176">
        <f t="shared" si="679"/>
        <v>2.338464</v>
      </c>
    </row>
    <row r="1604" ht="26.25" hidden="1" customHeight="1" spans="1:14">
      <c r="A1604" s="202"/>
      <c r="B1604" s="203"/>
      <c r="C1604" s="203" t="s">
        <v>571</v>
      </c>
      <c r="D1604" s="200">
        <f t="shared" si="680"/>
        <v>0.6864</v>
      </c>
      <c r="E1604" s="204">
        <f t="shared" si="681"/>
        <v>0.6864</v>
      </c>
      <c r="F1604" s="205">
        <v>0.6864</v>
      </c>
      <c r="G1604" s="205"/>
      <c r="H1604" s="205"/>
      <c r="I1604" s="204">
        <f t="shared" si="682"/>
        <v>0</v>
      </c>
      <c r="J1604" s="212"/>
      <c r="K1604" s="205"/>
      <c r="L1604" s="205"/>
      <c r="M1604" s="213"/>
      <c r="N1604" s="176">
        <f t="shared" ref="N1604:N1667" si="683">J1604+E1604</f>
        <v>0.6864</v>
      </c>
    </row>
    <row r="1605" ht="26.25" hidden="1" customHeight="1" spans="1:14">
      <c r="A1605" s="202"/>
      <c r="B1605" s="203"/>
      <c r="C1605" s="203" t="s">
        <v>571</v>
      </c>
      <c r="D1605" s="200">
        <f t="shared" si="680"/>
        <v>5.232144</v>
      </c>
      <c r="E1605" s="204">
        <f t="shared" si="681"/>
        <v>5.232144</v>
      </c>
      <c r="F1605" s="205">
        <v>5.232144</v>
      </c>
      <c r="G1605" s="205"/>
      <c r="H1605" s="205"/>
      <c r="I1605" s="204">
        <f t="shared" si="682"/>
        <v>0</v>
      </c>
      <c r="J1605" s="212"/>
      <c r="K1605" s="205"/>
      <c r="L1605" s="205"/>
      <c r="M1605" s="213"/>
      <c r="N1605" s="176">
        <f t="shared" si="683"/>
        <v>5.232144</v>
      </c>
    </row>
    <row r="1606" ht="26.25" hidden="1" customHeight="1" spans="1:14">
      <c r="A1606" s="202"/>
      <c r="B1606" s="203"/>
      <c r="C1606" s="203" t="s">
        <v>571</v>
      </c>
      <c r="D1606" s="200">
        <f t="shared" si="680"/>
        <v>4.807056</v>
      </c>
      <c r="E1606" s="204">
        <f t="shared" si="681"/>
        <v>4.807056</v>
      </c>
      <c r="F1606" s="205">
        <v>4.807056</v>
      </c>
      <c r="G1606" s="205"/>
      <c r="H1606" s="205"/>
      <c r="I1606" s="204">
        <f t="shared" si="682"/>
        <v>0</v>
      </c>
      <c r="J1606" s="212"/>
      <c r="K1606" s="205"/>
      <c r="L1606" s="205"/>
      <c r="M1606" s="213"/>
      <c r="N1606" s="176">
        <f t="shared" si="683"/>
        <v>4.807056</v>
      </c>
    </row>
    <row r="1607" ht="26.25" hidden="1" customHeight="1" spans="1:14">
      <c r="A1607" s="202"/>
      <c r="B1607" s="203"/>
      <c r="C1607" s="203" t="s">
        <v>571</v>
      </c>
      <c r="D1607" s="200">
        <f t="shared" si="680"/>
        <v>1.901568</v>
      </c>
      <c r="E1607" s="204">
        <f t="shared" si="681"/>
        <v>1.901568</v>
      </c>
      <c r="F1607" s="205">
        <v>1.901568</v>
      </c>
      <c r="G1607" s="205"/>
      <c r="H1607" s="205"/>
      <c r="I1607" s="204">
        <f t="shared" si="682"/>
        <v>0</v>
      </c>
      <c r="J1607" s="212"/>
      <c r="K1607" s="205"/>
      <c r="L1607" s="205"/>
      <c r="M1607" s="213"/>
      <c r="N1607" s="176">
        <f t="shared" si="683"/>
        <v>1.901568</v>
      </c>
    </row>
    <row r="1608" ht="26.25" hidden="1" customHeight="1" spans="1:14">
      <c r="A1608" s="202"/>
      <c r="B1608" s="203"/>
      <c r="C1608" s="203" t="s">
        <v>571</v>
      </c>
      <c r="D1608" s="200">
        <f t="shared" si="680"/>
        <v>2.101872</v>
      </c>
      <c r="E1608" s="204">
        <f t="shared" si="681"/>
        <v>2.101872</v>
      </c>
      <c r="F1608" s="205">
        <v>2.101872</v>
      </c>
      <c r="G1608" s="205"/>
      <c r="H1608" s="205"/>
      <c r="I1608" s="204">
        <f t="shared" si="682"/>
        <v>0</v>
      </c>
      <c r="J1608" s="212"/>
      <c r="K1608" s="205"/>
      <c r="L1608" s="205"/>
      <c r="M1608" s="213"/>
      <c r="N1608" s="176">
        <f t="shared" si="683"/>
        <v>2.101872</v>
      </c>
    </row>
    <row r="1609" ht="26.25" hidden="1" customHeight="1" spans="1:14">
      <c r="A1609" s="202"/>
      <c r="B1609" s="203"/>
      <c r="C1609" s="203" t="s">
        <v>571</v>
      </c>
      <c r="D1609" s="200">
        <f t="shared" si="680"/>
        <v>0.99096</v>
      </c>
      <c r="E1609" s="204">
        <f t="shared" si="681"/>
        <v>0.99096</v>
      </c>
      <c r="F1609" s="205">
        <v>0.99096</v>
      </c>
      <c r="G1609" s="205"/>
      <c r="H1609" s="205"/>
      <c r="I1609" s="204">
        <f t="shared" si="682"/>
        <v>0</v>
      </c>
      <c r="J1609" s="212"/>
      <c r="K1609" s="205"/>
      <c r="L1609" s="205"/>
      <c r="M1609" s="213"/>
      <c r="N1609" s="176">
        <f t="shared" si="683"/>
        <v>0.99096</v>
      </c>
    </row>
    <row r="1610" ht="26.25" hidden="1" customHeight="1" spans="1:14">
      <c r="A1610" s="202"/>
      <c r="B1610" s="203"/>
      <c r="C1610" s="203" t="s">
        <v>571</v>
      </c>
      <c r="D1610" s="200">
        <f t="shared" si="680"/>
        <v>4.357968</v>
      </c>
      <c r="E1610" s="204">
        <f t="shared" si="681"/>
        <v>4.357968</v>
      </c>
      <c r="F1610" s="205">
        <v>4.357968</v>
      </c>
      <c r="G1610" s="205"/>
      <c r="H1610" s="205"/>
      <c r="I1610" s="204">
        <f t="shared" si="682"/>
        <v>0</v>
      </c>
      <c r="J1610" s="212"/>
      <c r="K1610" s="205"/>
      <c r="L1610" s="205"/>
      <c r="M1610" s="213"/>
      <c r="N1610" s="176">
        <f t="shared" si="683"/>
        <v>4.357968</v>
      </c>
    </row>
    <row r="1611" ht="26.25" hidden="1" customHeight="1" spans="1:14">
      <c r="A1611" s="202"/>
      <c r="B1611" s="203"/>
      <c r="C1611" s="203" t="s">
        <v>571</v>
      </c>
      <c r="D1611" s="200">
        <f t="shared" si="680"/>
        <v>2.531568</v>
      </c>
      <c r="E1611" s="204">
        <f t="shared" si="681"/>
        <v>2.531568</v>
      </c>
      <c r="F1611" s="205">
        <v>2.531568</v>
      </c>
      <c r="G1611" s="205"/>
      <c r="H1611" s="205"/>
      <c r="I1611" s="204">
        <f t="shared" si="682"/>
        <v>0</v>
      </c>
      <c r="J1611" s="212"/>
      <c r="K1611" s="205"/>
      <c r="L1611" s="205"/>
      <c r="M1611" s="213"/>
      <c r="N1611" s="176">
        <f t="shared" si="683"/>
        <v>2.531568</v>
      </c>
    </row>
    <row r="1612" ht="26.25" hidden="1" customHeight="1" spans="1:14">
      <c r="A1612" s="202"/>
      <c r="B1612" s="203"/>
      <c r="C1612" s="203" t="s">
        <v>572</v>
      </c>
      <c r="D1612" s="200">
        <f t="shared" si="680"/>
        <v>44.336124</v>
      </c>
      <c r="E1612" s="204">
        <f t="shared" si="681"/>
        <v>44.336124</v>
      </c>
      <c r="F1612" s="205">
        <v>44.336124</v>
      </c>
      <c r="G1612" s="205"/>
      <c r="H1612" s="205"/>
      <c r="I1612" s="204">
        <f t="shared" si="682"/>
        <v>0</v>
      </c>
      <c r="J1612" s="212"/>
      <c r="K1612" s="205"/>
      <c r="L1612" s="205"/>
      <c r="M1612" s="213"/>
      <c r="N1612" s="176">
        <f t="shared" si="683"/>
        <v>44.336124</v>
      </c>
    </row>
    <row r="1613" ht="26.25" hidden="1" customHeight="1" spans="1:14">
      <c r="A1613" s="202"/>
      <c r="B1613" s="203"/>
      <c r="C1613" s="203" t="s">
        <v>572</v>
      </c>
      <c r="D1613" s="200">
        <f t="shared" si="680"/>
        <v>5.02902</v>
      </c>
      <c r="E1613" s="204">
        <f t="shared" si="681"/>
        <v>5.02902</v>
      </c>
      <c r="F1613" s="205">
        <v>5.02902</v>
      </c>
      <c r="G1613" s="205"/>
      <c r="H1613" s="205"/>
      <c r="I1613" s="204">
        <f t="shared" si="682"/>
        <v>0</v>
      </c>
      <c r="J1613" s="212"/>
      <c r="K1613" s="205"/>
      <c r="L1613" s="205"/>
      <c r="M1613" s="213"/>
      <c r="N1613" s="176">
        <f t="shared" si="683"/>
        <v>5.02902</v>
      </c>
    </row>
    <row r="1614" ht="26.25" hidden="1" customHeight="1" spans="1:14">
      <c r="A1614" s="202"/>
      <c r="B1614" s="203"/>
      <c r="C1614" s="203" t="s">
        <v>572</v>
      </c>
      <c r="D1614" s="200">
        <f t="shared" si="680"/>
        <v>11.2872</v>
      </c>
      <c r="E1614" s="204">
        <f t="shared" si="681"/>
        <v>11.2872</v>
      </c>
      <c r="F1614" s="205">
        <v>11.2872</v>
      </c>
      <c r="G1614" s="205"/>
      <c r="H1614" s="205"/>
      <c r="I1614" s="204">
        <f t="shared" si="682"/>
        <v>0</v>
      </c>
      <c r="J1614" s="212"/>
      <c r="K1614" s="205"/>
      <c r="L1614" s="205"/>
      <c r="M1614" s="213"/>
      <c r="N1614" s="176">
        <f t="shared" si="683"/>
        <v>11.2872</v>
      </c>
    </row>
    <row r="1615" ht="26.25" hidden="1" customHeight="1" spans="1:14">
      <c r="A1615" s="202"/>
      <c r="B1615" s="203"/>
      <c r="C1615" s="203" t="s">
        <v>572</v>
      </c>
      <c r="D1615" s="200">
        <f t="shared" si="680"/>
        <v>2.239824</v>
      </c>
      <c r="E1615" s="204">
        <f t="shared" si="681"/>
        <v>2.239824</v>
      </c>
      <c r="F1615" s="205">
        <v>2.239824</v>
      </c>
      <c r="G1615" s="205"/>
      <c r="H1615" s="205"/>
      <c r="I1615" s="204">
        <f t="shared" si="682"/>
        <v>0</v>
      </c>
      <c r="J1615" s="212"/>
      <c r="K1615" s="205"/>
      <c r="L1615" s="205"/>
      <c r="M1615" s="213"/>
      <c r="N1615" s="176">
        <f t="shared" si="683"/>
        <v>2.239824</v>
      </c>
    </row>
    <row r="1616" ht="26.25" hidden="1" customHeight="1" spans="1:14">
      <c r="A1616" s="202"/>
      <c r="B1616" s="203"/>
      <c r="C1616" s="203" t="s">
        <v>572</v>
      </c>
      <c r="D1616" s="200">
        <f t="shared" si="680"/>
        <v>1.937568</v>
      </c>
      <c r="E1616" s="204">
        <f t="shared" si="681"/>
        <v>1.937568</v>
      </c>
      <c r="F1616" s="205">
        <v>1.937568</v>
      </c>
      <c r="G1616" s="205"/>
      <c r="H1616" s="205"/>
      <c r="I1616" s="204">
        <f t="shared" si="682"/>
        <v>0</v>
      </c>
      <c r="J1616" s="212"/>
      <c r="K1616" s="205"/>
      <c r="L1616" s="205"/>
      <c r="M1616" s="213"/>
      <c r="N1616" s="176">
        <f t="shared" si="683"/>
        <v>1.937568</v>
      </c>
    </row>
    <row r="1617" ht="26.25" hidden="1" customHeight="1" spans="1:14">
      <c r="A1617" s="202"/>
      <c r="B1617" s="203"/>
      <c r="C1617" s="203" t="s">
        <v>572</v>
      </c>
      <c r="D1617" s="200">
        <f t="shared" si="680"/>
        <v>3.214512</v>
      </c>
      <c r="E1617" s="204">
        <f t="shared" si="681"/>
        <v>3.214512</v>
      </c>
      <c r="F1617" s="205">
        <v>3.214512</v>
      </c>
      <c r="G1617" s="205"/>
      <c r="H1617" s="205"/>
      <c r="I1617" s="204">
        <f t="shared" si="682"/>
        <v>0</v>
      </c>
      <c r="J1617" s="212"/>
      <c r="K1617" s="205"/>
      <c r="L1617" s="205"/>
      <c r="M1617" s="213"/>
      <c r="N1617" s="176">
        <f t="shared" si="683"/>
        <v>3.214512</v>
      </c>
    </row>
    <row r="1618" ht="26.25" hidden="1" customHeight="1" spans="1:14">
      <c r="A1618" s="202"/>
      <c r="B1618" s="203"/>
      <c r="C1618" s="203" t="s">
        <v>572</v>
      </c>
      <c r="D1618" s="200">
        <f t="shared" si="680"/>
        <v>2.2908</v>
      </c>
      <c r="E1618" s="204">
        <f t="shared" si="681"/>
        <v>2.2908</v>
      </c>
      <c r="F1618" s="205">
        <v>2.2908</v>
      </c>
      <c r="G1618" s="205"/>
      <c r="H1618" s="205"/>
      <c r="I1618" s="204">
        <f t="shared" si="682"/>
        <v>0</v>
      </c>
      <c r="J1618" s="212"/>
      <c r="K1618" s="205"/>
      <c r="L1618" s="205"/>
      <c r="M1618" s="213"/>
      <c r="N1618" s="176">
        <f t="shared" si="683"/>
        <v>2.2908</v>
      </c>
    </row>
    <row r="1619" ht="26.25" hidden="1" customHeight="1" spans="1:14">
      <c r="A1619" s="202"/>
      <c r="B1619" s="203"/>
      <c r="C1619" s="203" t="s">
        <v>572</v>
      </c>
      <c r="D1619" s="200">
        <f t="shared" si="680"/>
        <v>11.715264</v>
      </c>
      <c r="E1619" s="204">
        <f t="shared" si="681"/>
        <v>11.715264</v>
      </c>
      <c r="F1619" s="205">
        <v>11.715264</v>
      </c>
      <c r="G1619" s="205"/>
      <c r="H1619" s="205"/>
      <c r="I1619" s="204">
        <f t="shared" si="682"/>
        <v>0</v>
      </c>
      <c r="J1619" s="212"/>
      <c r="K1619" s="205"/>
      <c r="L1619" s="205"/>
      <c r="M1619" s="213"/>
      <c r="N1619" s="176">
        <f t="shared" si="683"/>
        <v>11.715264</v>
      </c>
    </row>
    <row r="1620" ht="26.25" hidden="1" customHeight="1" spans="1:14">
      <c r="A1620" s="202"/>
      <c r="B1620" s="203"/>
      <c r="C1620" s="203" t="s">
        <v>573</v>
      </c>
      <c r="D1620" s="200">
        <f t="shared" si="680"/>
        <v>52.295124</v>
      </c>
      <c r="E1620" s="204">
        <f t="shared" si="681"/>
        <v>52.295124</v>
      </c>
      <c r="F1620" s="205">
        <v>52.295124</v>
      </c>
      <c r="G1620" s="205"/>
      <c r="H1620" s="205"/>
      <c r="I1620" s="204">
        <f t="shared" si="682"/>
        <v>0</v>
      </c>
      <c r="J1620" s="212"/>
      <c r="K1620" s="205"/>
      <c r="L1620" s="205"/>
      <c r="M1620" s="213"/>
      <c r="N1620" s="176">
        <f t="shared" si="683"/>
        <v>52.295124</v>
      </c>
    </row>
    <row r="1621" ht="26.25" hidden="1" customHeight="1" spans="1:14">
      <c r="A1621" s="202"/>
      <c r="B1621" s="203"/>
      <c r="C1621" s="203" t="s">
        <v>573</v>
      </c>
      <c r="D1621" s="200">
        <f t="shared" si="680"/>
        <v>0.99972</v>
      </c>
      <c r="E1621" s="204">
        <f t="shared" si="681"/>
        <v>0.99972</v>
      </c>
      <c r="F1621" s="205">
        <v>0.99972</v>
      </c>
      <c r="G1621" s="205"/>
      <c r="H1621" s="205"/>
      <c r="I1621" s="204">
        <f t="shared" si="682"/>
        <v>0</v>
      </c>
      <c r="J1621" s="212"/>
      <c r="K1621" s="205"/>
      <c r="L1621" s="205"/>
      <c r="M1621" s="213"/>
      <c r="N1621" s="176">
        <f t="shared" si="683"/>
        <v>0.99972</v>
      </c>
    </row>
    <row r="1622" ht="26.25" hidden="1" customHeight="1" spans="1:14">
      <c r="A1622" s="202"/>
      <c r="B1622" s="203"/>
      <c r="C1622" s="203" t="s">
        <v>573</v>
      </c>
      <c r="D1622" s="200">
        <f t="shared" si="680"/>
        <v>5.239488</v>
      </c>
      <c r="E1622" s="204">
        <f t="shared" si="681"/>
        <v>5.239488</v>
      </c>
      <c r="F1622" s="205">
        <v>5.239488</v>
      </c>
      <c r="G1622" s="205"/>
      <c r="H1622" s="205"/>
      <c r="I1622" s="204">
        <f t="shared" si="682"/>
        <v>0</v>
      </c>
      <c r="J1622" s="212"/>
      <c r="K1622" s="205"/>
      <c r="L1622" s="205"/>
      <c r="M1622" s="213"/>
      <c r="N1622" s="176">
        <f t="shared" si="683"/>
        <v>5.239488</v>
      </c>
    </row>
    <row r="1623" ht="26.25" hidden="1" customHeight="1" spans="1:14">
      <c r="A1623" s="202"/>
      <c r="B1623" s="203"/>
      <c r="C1623" s="203" t="s">
        <v>573</v>
      </c>
      <c r="D1623" s="200">
        <f t="shared" si="680"/>
        <v>0.939696</v>
      </c>
      <c r="E1623" s="204">
        <f t="shared" si="681"/>
        <v>0.939696</v>
      </c>
      <c r="F1623" s="205">
        <v>0.939696</v>
      </c>
      <c r="G1623" s="205"/>
      <c r="H1623" s="205"/>
      <c r="I1623" s="204">
        <f t="shared" si="682"/>
        <v>0</v>
      </c>
      <c r="J1623" s="212"/>
      <c r="K1623" s="205"/>
      <c r="L1623" s="205"/>
      <c r="M1623" s="213"/>
      <c r="N1623" s="176">
        <f t="shared" si="683"/>
        <v>0.939696</v>
      </c>
    </row>
    <row r="1624" ht="26.25" hidden="1" customHeight="1" spans="1:14">
      <c r="A1624" s="202"/>
      <c r="B1624" s="203"/>
      <c r="C1624" s="203" t="s">
        <v>573</v>
      </c>
      <c r="D1624" s="200">
        <f t="shared" si="680"/>
        <v>1.103568</v>
      </c>
      <c r="E1624" s="204">
        <f t="shared" si="681"/>
        <v>1.103568</v>
      </c>
      <c r="F1624" s="205">
        <v>1.103568</v>
      </c>
      <c r="G1624" s="205"/>
      <c r="H1624" s="205"/>
      <c r="I1624" s="204">
        <f t="shared" si="682"/>
        <v>0</v>
      </c>
      <c r="J1624" s="212"/>
      <c r="K1624" s="205"/>
      <c r="L1624" s="205"/>
      <c r="M1624" s="213"/>
      <c r="N1624" s="176">
        <f t="shared" si="683"/>
        <v>1.103568</v>
      </c>
    </row>
    <row r="1625" ht="26.25" hidden="1" customHeight="1" spans="1:14">
      <c r="A1625" s="202"/>
      <c r="B1625" s="203"/>
      <c r="C1625" s="203" t="s">
        <v>573</v>
      </c>
      <c r="D1625" s="200">
        <f t="shared" si="680"/>
        <v>7.995072</v>
      </c>
      <c r="E1625" s="204">
        <f t="shared" si="681"/>
        <v>7.995072</v>
      </c>
      <c r="F1625" s="205">
        <v>7.995072</v>
      </c>
      <c r="G1625" s="205"/>
      <c r="H1625" s="205"/>
      <c r="I1625" s="204">
        <f t="shared" si="682"/>
        <v>0</v>
      </c>
      <c r="J1625" s="212"/>
      <c r="K1625" s="205"/>
      <c r="L1625" s="205"/>
      <c r="M1625" s="213"/>
      <c r="N1625" s="176">
        <f t="shared" si="683"/>
        <v>7.995072</v>
      </c>
    </row>
    <row r="1626" ht="26.25" hidden="1" customHeight="1" spans="1:14">
      <c r="A1626" s="202"/>
      <c r="B1626" s="203"/>
      <c r="C1626" s="203" t="s">
        <v>574</v>
      </c>
      <c r="D1626" s="200">
        <f t="shared" si="680"/>
        <v>52.652614</v>
      </c>
      <c r="E1626" s="204">
        <f t="shared" si="681"/>
        <v>52.652614</v>
      </c>
      <c r="F1626" s="205">
        <v>52.652614</v>
      </c>
      <c r="G1626" s="205"/>
      <c r="H1626" s="205"/>
      <c r="I1626" s="204">
        <f t="shared" si="682"/>
        <v>0</v>
      </c>
      <c r="J1626" s="212"/>
      <c r="K1626" s="205"/>
      <c r="L1626" s="205"/>
      <c r="M1626" s="213"/>
      <c r="N1626" s="176">
        <f t="shared" si="683"/>
        <v>52.652614</v>
      </c>
    </row>
    <row r="1627" ht="26.25" hidden="1" customHeight="1" spans="1:14">
      <c r="A1627" s="202"/>
      <c r="B1627" s="203"/>
      <c r="C1627" s="203" t="s">
        <v>574</v>
      </c>
      <c r="D1627" s="200">
        <f t="shared" si="680"/>
        <v>4.287648</v>
      </c>
      <c r="E1627" s="204">
        <f t="shared" si="681"/>
        <v>4.287648</v>
      </c>
      <c r="F1627" s="205">
        <v>4.287648</v>
      </c>
      <c r="G1627" s="205"/>
      <c r="H1627" s="205"/>
      <c r="I1627" s="204">
        <f t="shared" si="682"/>
        <v>0</v>
      </c>
      <c r="J1627" s="212"/>
      <c r="K1627" s="205"/>
      <c r="L1627" s="205"/>
      <c r="M1627" s="213"/>
      <c r="N1627" s="176">
        <f t="shared" si="683"/>
        <v>4.287648</v>
      </c>
    </row>
    <row r="1628" ht="26.25" hidden="1" customHeight="1" spans="1:14">
      <c r="A1628" s="202"/>
      <c r="B1628" s="203"/>
      <c r="C1628" s="203" t="s">
        <v>574</v>
      </c>
      <c r="D1628" s="200">
        <f t="shared" si="680"/>
        <v>4.845216</v>
      </c>
      <c r="E1628" s="204">
        <f t="shared" si="681"/>
        <v>4.845216</v>
      </c>
      <c r="F1628" s="205">
        <v>4.845216</v>
      </c>
      <c r="G1628" s="205"/>
      <c r="H1628" s="205"/>
      <c r="I1628" s="204">
        <f t="shared" si="682"/>
        <v>0</v>
      </c>
      <c r="J1628" s="212"/>
      <c r="K1628" s="205"/>
      <c r="L1628" s="205"/>
      <c r="M1628" s="213"/>
      <c r="N1628" s="176">
        <f t="shared" si="683"/>
        <v>4.845216</v>
      </c>
    </row>
    <row r="1629" ht="26.25" hidden="1" customHeight="1" spans="1:14">
      <c r="A1629" s="202"/>
      <c r="B1629" s="203"/>
      <c r="C1629" s="203" t="s">
        <v>574</v>
      </c>
      <c r="D1629" s="200">
        <f t="shared" si="680"/>
        <v>7.642128</v>
      </c>
      <c r="E1629" s="204">
        <f t="shared" si="681"/>
        <v>7.642128</v>
      </c>
      <c r="F1629" s="205">
        <v>7.642128</v>
      </c>
      <c r="G1629" s="205"/>
      <c r="H1629" s="205"/>
      <c r="I1629" s="204">
        <f t="shared" si="682"/>
        <v>0</v>
      </c>
      <c r="J1629" s="212"/>
      <c r="K1629" s="205"/>
      <c r="L1629" s="205"/>
      <c r="M1629" s="213"/>
      <c r="N1629" s="176">
        <f t="shared" si="683"/>
        <v>7.642128</v>
      </c>
    </row>
    <row r="1630" ht="26.25" hidden="1" customHeight="1" spans="1:14">
      <c r="A1630" s="202"/>
      <c r="B1630" s="203"/>
      <c r="C1630" s="203" t="s">
        <v>575</v>
      </c>
      <c r="D1630" s="200">
        <f t="shared" si="680"/>
        <v>44.588256</v>
      </c>
      <c r="E1630" s="204">
        <f t="shared" si="681"/>
        <v>44.588256</v>
      </c>
      <c r="F1630" s="205">
        <v>44.588256</v>
      </c>
      <c r="G1630" s="205"/>
      <c r="H1630" s="205"/>
      <c r="I1630" s="204">
        <f t="shared" si="682"/>
        <v>0</v>
      </c>
      <c r="J1630" s="212"/>
      <c r="K1630" s="205"/>
      <c r="L1630" s="205"/>
      <c r="M1630" s="213"/>
      <c r="N1630" s="176">
        <f t="shared" si="683"/>
        <v>44.588256</v>
      </c>
    </row>
    <row r="1631" ht="26.25" hidden="1" customHeight="1" spans="1:14">
      <c r="A1631" s="202"/>
      <c r="B1631" s="203"/>
      <c r="C1631" s="203" t="s">
        <v>575</v>
      </c>
      <c r="D1631" s="200">
        <f t="shared" si="680"/>
        <v>6.890412</v>
      </c>
      <c r="E1631" s="204">
        <f t="shared" si="681"/>
        <v>6.890412</v>
      </c>
      <c r="F1631" s="205">
        <v>6.890412</v>
      </c>
      <c r="G1631" s="205"/>
      <c r="H1631" s="205"/>
      <c r="I1631" s="204">
        <f t="shared" si="682"/>
        <v>0</v>
      </c>
      <c r="J1631" s="212"/>
      <c r="K1631" s="205"/>
      <c r="L1631" s="205"/>
      <c r="M1631" s="213"/>
      <c r="N1631" s="176">
        <f t="shared" si="683"/>
        <v>6.890412</v>
      </c>
    </row>
    <row r="1632" ht="26.25" hidden="1" customHeight="1" spans="1:14">
      <c r="A1632" s="202"/>
      <c r="B1632" s="203"/>
      <c r="C1632" s="203" t="s">
        <v>575</v>
      </c>
      <c r="D1632" s="200">
        <f t="shared" si="680"/>
        <v>14.034864</v>
      </c>
      <c r="E1632" s="204">
        <f t="shared" si="681"/>
        <v>14.034864</v>
      </c>
      <c r="F1632" s="205">
        <v>14.034864</v>
      </c>
      <c r="G1632" s="205"/>
      <c r="H1632" s="205"/>
      <c r="I1632" s="204">
        <f t="shared" si="682"/>
        <v>0</v>
      </c>
      <c r="J1632" s="212"/>
      <c r="K1632" s="205"/>
      <c r="L1632" s="205"/>
      <c r="M1632" s="213"/>
      <c r="N1632" s="176">
        <f t="shared" si="683"/>
        <v>14.034864</v>
      </c>
    </row>
    <row r="1633" ht="26.25" hidden="1" customHeight="1" spans="1:14">
      <c r="A1633" s="202"/>
      <c r="B1633" s="203"/>
      <c r="C1633" s="203" t="s">
        <v>575</v>
      </c>
      <c r="D1633" s="200">
        <f t="shared" si="680"/>
        <v>2.876544</v>
      </c>
      <c r="E1633" s="204">
        <f t="shared" si="681"/>
        <v>2.876544</v>
      </c>
      <c r="F1633" s="205">
        <v>2.876544</v>
      </c>
      <c r="G1633" s="205"/>
      <c r="H1633" s="205"/>
      <c r="I1633" s="204">
        <f t="shared" si="682"/>
        <v>0</v>
      </c>
      <c r="J1633" s="212"/>
      <c r="K1633" s="205"/>
      <c r="L1633" s="205"/>
      <c r="M1633" s="213"/>
      <c r="N1633" s="176">
        <f t="shared" si="683"/>
        <v>2.876544</v>
      </c>
    </row>
    <row r="1634" ht="26.25" hidden="1" customHeight="1" spans="1:14">
      <c r="A1634" s="202"/>
      <c r="B1634" s="203"/>
      <c r="C1634" s="203" t="s">
        <v>575</v>
      </c>
      <c r="D1634" s="200">
        <f t="shared" si="680"/>
        <v>4.075728</v>
      </c>
      <c r="E1634" s="204">
        <f t="shared" si="681"/>
        <v>4.075728</v>
      </c>
      <c r="F1634" s="205">
        <v>4.075728</v>
      </c>
      <c r="G1634" s="205"/>
      <c r="H1634" s="205"/>
      <c r="I1634" s="204">
        <f t="shared" si="682"/>
        <v>0</v>
      </c>
      <c r="J1634" s="212"/>
      <c r="K1634" s="205"/>
      <c r="L1634" s="205"/>
      <c r="M1634" s="213"/>
      <c r="N1634" s="176">
        <f t="shared" si="683"/>
        <v>4.075728</v>
      </c>
    </row>
    <row r="1635" ht="26.25" hidden="1" customHeight="1" spans="1:14">
      <c r="A1635" s="202"/>
      <c r="B1635" s="203"/>
      <c r="C1635" s="203" t="s">
        <v>575</v>
      </c>
      <c r="D1635" s="200">
        <f t="shared" si="680"/>
        <v>2.10288</v>
      </c>
      <c r="E1635" s="204">
        <f t="shared" si="681"/>
        <v>2.10288</v>
      </c>
      <c r="F1635" s="205">
        <v>2.10288</v>
      </c>
      <c r="G1635" s="205"/>
      <c r="H1635" s="205"/>
      <c r="I1635" s="204">
        <f t="shared" si="682"/>
        <v>0</v>
      </c>
      <c r="J1635" s="212"/>
      <c r="K1635" s="205"/>
      <c r="L1635" s="205"/>
      <c r="M1635" s="213"/>
      <c r="N1635" s="176">
        <f t="shared" si="683"/>
        <v>2.10288</v>
      </c>
    </row>
    <row r="1636" ht="26.25" hidden="1" customHeight="1" spans="1:14">
      <c r="A1636" s="202"/>
      <c r="B1636" s="203"/>
      <c r="C1636" s="203" t="s">
        <v>575</v>
      </c>
      <c r="D1636" s="200">
        <f t="shared" si="680"/>
        <v>13.275312</v>
      </c>
      <c r="E1636" s="204">
        <f t="shared" si="681"/>
        <v>13.275312</v>
      </c>
      <c r="F1636" s="205">
        <v>13.275312</v>
      </c>
      <c r="G1636" s="205"/>
      <c r="H1636" s="205"/>
      <c r="I1636" s="204">
        <f t="shared" si="682"/>
        <v>0</v>
      </c>
      <c r="J1636" s="212"/>
      <c r="K1636" s="205"/>
      <c r="L1636" s="205"/>
      <c r="M1636" s="213"/>
      <c r="N1636" s="176">
        <f t="shared" si="683"/>
        <v>13.275312</v>
      </c>
    </row>
    <row r="1637" ht="26.25" hidden="1" customHeight="1" spans="1:14">
      <c r="A1637" s="202"/>
      <c r="B1637" s="203"/>
      <c r="C1637" s="203" t="s">
        <v>375</v>
      </c>
      <c r="D1637" s="200">
        <f t="shared" si="680"/>
        <v>23.077908</v>
      </c>
      <c r="E1637" s="204">
        <f t="shared" si="681"/>
        <v>23.077908</v>
      </c>
      <c r="F1637" s="205">
        <v>23.077908</v>
      </c>
      <c r="G1637" s="205"/>
      <c r="H1637" s="205"/>
      <c r="I1637" s="204">
        <f t="shared" si="682"/>
        <v>0</v>
      </c>
      <c r="J1637" s="212"/>
      <c r="K1637" s="205"/>
      <c r="L1637" s="205"/>
      <c r="M1637" s="213"/>
      <c r="N1637" s="176">
        <f t="shared" si="683"/>
        <v>23.077908</v>
      </c>
    </row>
    <row r="1638" ht="26.25" customHeight="1" spans="1:14">
      <c r="A1638" s="198" t="s">
        <v>1394</v>
      </c>
      <c r="B1638" s="199" t="s">
        <v>1395</v>
      </c>
      <c r="C1638" s="199"/>
      <c r="D1638" s="200">
        <f t="shared" ref="D1638:L1638" si="684">D1639</f>
        <v>60.403652</v>
      </c>
      <c r="E1638" s="200">
        <f t="shared" si="684"/>
        <v>57.203652</v>
      </c>
      <c r="F1638" s="200">
        <f t="shared" si="684"/>
        <v>54.609972</v>
      </c>
      <c r="G1638" s="200">
        <f t="shared" si="684"/>
        <v>1.44</v>
      </c>
      <c r="H1638" s="200">
        <f t="shared" si="684"/>
        <v>1.15368</v>
      </c>
      <c r="I1638" s="200">
        <f t="shared" si="684"/>
        <v>3.2</v>
      </c>
      <c r="J1638" s="200">
        <f t="shared" si="684"/>
        <v>3.2</v>
      </c>
      <c r="K1638" s="200">
        <f t="shared" si="684"/>
        <v>0</v>
      </c>
      <c r="L1638" s="200">
        <f t="shared" si="684"/>
        <v>0</v>
      </c>
      <c r="M1638" s="211"/>
      <c r="N1638" s="176">
        <f t="shared" si="683"/>
        <v>60.403652</v>
      </c>
    </row>
    <row r="1639" ht="26.25" customHeight="1" spans="1:14">
      <c r="A1639" s="198" t="s">
        <v>1396</v>
      </c>
      <c r="B1639" s="199" t="s">
        <v>1397</v>
      </c>
      <c r="C1639" s="199"/>
      <c r="D1639" s="200">
        <f t="shared" ref="D1639:L1639" si="685">D1640</f>
        <v>60.403652</v>
      </c>
      <c r="E1639" s="200">
        <f t="shared" si="685"/>
        <v>57.203652</v>
      </c>
      <c r="F1639" s="200">
        <f t="shared" si="685"/>
        <v>54.609972</v>
      </c>
      <c r="G1639" s="200">
        <f t="shared" si="685"/>
        <v>1.44</v>
      </c>
      <c r="H1639" s="200">
        <f t="shared" si="685"/>
        <v>1.15368</v>
      </c>
      <c r="I1639" s="200">
        <f t="shared" si="685"/>
        <v>3.2</v>
      </c>
      <c r="J1639" s="200">
        <f t="shared" si="685"/>
        <v>3.2</v>
      </c>
      <c r="K1639" s="200">
        <f t="shared" si="685"/>
        <v>0</v>
      </c>
      <c r="L1639" s="200">
        <f t="shared" si="685"/>
        <v>0</v>
      </c>
      <c r="M1639" s="211"/>
      <c r="N1639" s="176">
        <f t="shared" si="683"/>
        <v>60.403652</v>
      </c>
    </row>
    <row r="1640" ht="26.25" customHeight="1" spans="1:14">
      <c r="A1640" s="202"/>
      <c r="B1640" s="203"/>
      <c r="C1640" s="203" t="s">
        <v>536</v>
      </c>
      <c r="D1640" s="200">
        <f>E1640+I1640</f>
        <v>60.403652</v>
      </c>
      <c r="E1640" s="204">
        <f>SUM(F1640:H1640)</f>
        <v>57.203652</v>
      </c>
      <c r="F1640" s="205">
        <v>54.609972</v>
      </c>
      <c r="G1640" s="205">
        <v>1.44</v>
      </c>
      <c r="H1640" s="205">
        <v>1.15368</v>
      </c>
      <c r="I1640" s="204">
        <f>SUM(J1640:L1640)</f>
        <v>3.2</v>
      </c>
      <c r="J1640" s="212">
        <v>3.2</v>
      </c>
      <c r="K1640" s="205"/>
      <c r="L1640" s="205"/>
      <c r="M1640" s="213" t="s">
        <v>1398</v>
      </c>
      <c r="N1640" s="176">
        <f t="shared" si="683"/>
        <v>60.403652</v>
      </c>
    </row>
    <row r="1641" ht="26.25" customHeight="1" spans="1:14">
      <c r="A1641" s="198" t="s">
        <v>1399</v>
      </c>
      <c r="B1641" s="199" t="s">
        <v>1400</v>
      </c>
      <c r="C1641" s="199"/>
      <c r="D1641" s="200">
        <f t="shared" ref="D1641:L1641" si="686">D1642+D1647+D1650</f>
        <v>77.03</v>
      </c>
      <c r="E1641" s="200">
        <f t="shared" si="686"/>
        <v>0</v>
      </c>
      <c r="F1641" s="200">
        <f t="shared" si="686"/>
        <v>0</v>
      </c>
      <c r="G1641" s="200">
        <f t="shared" si="686"/>
        <v>0</v>
      </c>
      <c r="H1641" s="200">
        <f t="shared" si="686"/>
        <v>0</v>
      </c>
      <c r="I1641" s="200">
        <f t="shared" si="686"/>
        <v>77.03</v>
      </c>
      <c r="J1641" s="200">
        <f t="shared" si="686"/>
        <v>77.03</v>
      </c>
      <c r="K1641" s="200">
        <f t="shared" si="686"/>
        <v>0</v>
      </c>
      <c r="L1641" s="200">
        <f t="shared" si="686"/>
        <v>0</v>
      </c>
      <c r="M1641" s="211"/>
      <c r="N1641" s="176">
        <f t="shared" si="683"/>
        <v>77.03</v>
      </c>
    </row>
    <row r="1642" ht="26.25" customHeight="1" spans="1:14">
      <c r="A1642" s="198" t="s">
        <v>1401</v>
      </c>
      <c r="B1642" s="199" t="s">
        <v>1402</v>
      </c>
      <c r="C1642" s="199"/>
      <c r="D1642" s="200">
        <f t="shared" ref="D1642:L1642" si="687">D1643+D1645</f>
        <v>7.15</v>
      </c>
      <c r="E1642" s="200">
        <f t="shared" si="687"/>
        <v>0</v>
      </c>
      <c r="F1642" s="200">
        <f t="shared" si="687"/>
        <v>0</v>
      </c>
      <c r="G1642" s="200">
        <f t="shared" si="687"/>
        <v>0</v>
      </c>
      <c r="H1642" s="200">
        <f t="shared" si="687"/>
        <v>0</v>
      </c>
      <c r="I1642" s="200">
        <f t="shared" si="687"/>
        <v>7.15</v>
      </c>
      <c r="J1642" s="200">
        <f t="shared" si="687"/>
        <v>7.15</v>
      </c>
      <c r="K1642" s="200">
        <f t="shared" si="687"/>
        <v>0</v>
      </c>
      <c r="L1642" s="200">
        <f t="shared" si="687"/>
        <v>0</v>
      </c>
      <c r="M1642" s="211"/>
      <c r="N1642" s="176">
        <f t="shared" si="683"/>
        <v>7.15</v>
      </c>
    </row>
    <row r="1643" ht="26.25" customHeight="1" spans="1:14">
      <c r="A1643" s="198" t="s">
        <v>1403</v>
      </c>
      <c r="B1643" s="199" t="s">
        <v>1404</v>
      </c>
      <c r="C1643" s="199"/>
      <c r="D1643" s="200">
        <f t="shared" ref="D1643:L1643" si="688">D1644</f>
        <v>1.28</v>
      </c>
      <c r="E1643" s="200">
        <f t="shared" si="688"/>
        <v>0</v>
      </c>
      <c r="F1643" s="200">
        <f t="shared" si="688"/>
        <v>0</v>
      </c>
      <c r="G1643" s="200">
        <f t="shared" si="688"/>
        <v>0</v>
      </c>
      <c r="H1643" s="200">
        <f t="shared" si="688"/>
        <v>0</v>
      </c>
      <c r="I1643" s="200">
        <f t="shared" si="688"/>
        <v>1.28</v>
      </c>
      <c r="J1643" s="200">
        <f t="shared" si="688"/>
        <v>1.28</v>
      </c>
      <c r="K1643" s="200">
        <f t="shared" si="688"/>
        <v>0</v>
      </c>
      <c r="L1643" s="200">
        <f t="shared" si="688"/>
        <v>0</v>
      </c>
      <c r="M1643" s="211"/>
      <c r="N1643" s="176">
        <f t="shared" si="683"/>
        <v>1.28</v>
      </c>
    </row>
    <row r="1644" ht="26.25" customHeight="1" spans="1:14">
      <c r="A1644" s="202"/>
      <c r="B1644" s="203"/>
      <c r="C1644" s="203" t="s">
        <v>380</v>
      </c>
      <c r="D1644" s="200">
        <f t="shared" ref="D1644:D1649" si="689">E1644+I1644</f>
        <v>1.28</v>
      </c>
      <c r="E1644" s="204">
        <f t="shared" ref="E1644:E1649" si="690">SUM(F1644:H1644)</f>
        <v>0</v>
      </c>
      <c r="F1644" s="205"/>
      <c r="G1644" s="205"/>
      <c r="H1644" s="205"/>
      <c r="I1644" s="204">
        <f t="shared" ref="I1644:I1649" si="691">SUM(J1644:L1644)</f>
        <v>1.28</v>
      </c>
      <c r="J1644" s="212">
        <v>1.28</v>
      </c>
      <c r="K1644" s="205"/>
      <c r="L1644" s="205"/>
      <c r="M1644" s="213" t="s">
        <v>1405</v>
      </c>
      <c r="N1644" s="176">
        <f t="shared" si="683"/>
        <v>1.28</v>
      </c>
    </row>
    <row r="1645" ht="26.25" customHeight="1" spans="1:14">
      <c r="A1645" s="198" t="s">
        <v>1406</v>
      </c>
      <c r="B1645" s="199" t="s">
        <v>1407</v>
      </c>
      <c r="C1645" s="199"/>
      <c r="D1645" s="200">
        <f t="shared" ref="D1645:L1645" si="692">D1646</f>
        <v>5.87</v>
      </c>
      <c r="E1645" s="200">
        <f t="shared" si="692"/>
        <v>0</v>
      </c>
      <c r="F1645" s="200">
        <f t="shared" si="692"/>
        <v>0</v>
      </c>
      <c r="G1645" s="200">
        <f t="shared" si="692"/>
        <v>0</v>
      </c>
      <c r="H1645" s="200">
        <f t="shared" si="692"/>
        <v>0</v>
      </c>
      <c r="I1645" s="200">
        <f t="shared" si="692"/>
        <v>5.87</v>
      </c>
      <c r="J1645" s="200">
        <f t="shared" si="692"/>
        <v>5.87</v>
      </c>
      <c r="K1645" s="200">
        <f t="shared" si="692"/>
        <v>0</v>
      </c>
      <c r="L1645" s="200">
        <f t="shared" si="692"/>
        <v>0</v>
      </c>
      <c r="M1645" s="211"/>
      <c r="N1645" s="176">
        <f t="shared" si="683"/>
        <v>5.87</v>
      </c>
    </row>
    <row r="1646" ht="26.25" customHeight="1" spans="1:14">
      <c r="A1646" s="202"/>
      <c r="B1646" s="203"/>
      <c r="C1646" s="203" t="s">
        <v>380</v>
      </c>
      <c r="D1646" s="200">
        <f t="shared" si="689"/>
        <v>5.87</v>
      </c>
      <c r="E1646" s="204">
        <f t="shared" si="690"/>
        <v>0</v>
      </c>
      <c r="F1646" s="205"/>
      <c r="G1646" s="205"/>
      <c r="H1646" s="205"/>
      <c r="I1646" s="204">
        <f t="shared" si="691"/>
        <v>5.87</v>
      </c>
      <c r="J1646" s="212">
        <v>5.87</v>
      </c>
      <c r="K1646" s="205"/>
      <c r="L1646" s="205"/>
      <c r="M1646" s="213" t="s">
        <v>1408</v>
      </c>
      <c r="N1646" s="176">
        <f t="shared" si="683"/>
        <v>5.87</v>
      </c>
    </row>
    <row r="1647" ht="26.25" customHeight="1" spans="1:14">
      <c r="A1647" s="198" t="s">
        <v>1409</v>
      </c>
      <c r="B1647" s="199" t="s">
        <v>1410</v>
      </c>
      <c r="C1647" s="199"/>
      <c r="D1647" s="200">
        <f t="shared" ref="D1647:L1647" si="693">D1648</f>
        <v>66.68</v>
      </c>
      <c r="E1647" s="200">
        <f t="shared" si="693"/>
        <v>0</v>
      </c>
      <c r="F1647" s="200">
        <f t="shared" si="693"/>
        <v>0</v>
      </c>
      <c r="G1647" s="200">
        <f t="shared" si="693"/>
        <v>0</v>
      </c>
      <c r="H1647" s="200">
        <f t="shared" si="693"/>
        <v>0</v>
      </c>
      <c r="I1647" s="200">
        <f t="shared" si="693"/>
        <v>66.68</v>
      </c>
      <c r="J1647" s="200">
        <f t="shared" si="693"/>
        <v>66.68</v>
      </c>
      <c r="K1647" s="200">
        <f t="shared" si="693"/>
        <v>0</v>
      </c>
      <c r="L1647" s="200">
        <f t="shared" si="693"/>
        <v>0</v>
      </c>
      <c r="M1647" s="211"/>
      <c r="N1647" s="176">
        <f t="shared" si="683"/>
        <v>66.68</v>
      </c>
    </row>
    <row r="1648" ht="26.25" customHeight="1" spans="1:14">
      <c r="A1648" s="198" t="s">
        <v>1411</v>
      </c>
      <c r="B1648" s="199" t="s">
        <v>1412</v>
      </c>
      <c r="C1648" s="199"/>
      <c r="D1648" s="200">
        <f t="shared" ref="D1648:L1648" si="694">D1649</f>
        <v>66.68</v>
      </c>
      <c r="E1648" s="200">
        <f t="shared" si="694"/>
        <v>0</v>
      </c>
      <c r="F1648" s="200">
        <f t="shared" si="694"/>
        <v>0</v>
      </c>
      <c r="G1648" s="200">
        <f t="shared" si="694"/>
        <v>0</v>
      </c>
      <c r="H1648" s="200">
        <f t="shared" si="694"/>
        <v>0</v>
      </c>
      <c r="I1648" s="200">
        <f t="shared" si="694"/>
        <v>66.68</v>
      </c>
      <c r="J1648" s="200">
        <f t="shared" si="694"/>
        <v>66.68</v>
      </c>
      <c r="K1648" s="200">
        <f t="shared" si="694"/>
        <v>0</v>
      </c>
      <c r="L1648" s="200">
        <f t="shared" si="694"/>
        <v>0</v>
      </c>
      <c r="M1648" s="211"/>
      <c r="N1648" s="176">
        <f t="shared" si="683"/>
        <v>66.68</v>
      </c>
    </row>
    <row r="1649" ht="26.25" customHeight="1" spans="1:14">
      <c r="A1649" s="202"/>
      <c r="B1649" s="203"/>
      <c r="C1649" s="203" t="s">
        <v>380</v>
      </c>
      <c r="D1649" s="200">
        <f t="shared" si="689"/>
        <v>66.68</v>
      </c>
      <c r="E1649" s="204">
        <f t="shared" si="690"/>
        <v>0</v>
      </c>
      <c r="F1649" s="205"/>
      <c r="G1649" s="205"/>
      <c r="H1649" s="205"/>
      <c r="I1649" s="204">
        <f t="shared" si="691"/>
        <v>66.68</v>
      </c>
      <c r="J1649" s="212">
        <v>66.68</v>
      </c>
      <c r="K1649" s="205"/>
      <c r="L1649" s="205"/>
      <c r="M1649" s="213" t="s">
        <v>1413</v>
      </c>
      <c r="N1649" s="176">
        <f t="shared" si="683"/>
        <v>66.68</v>
      </c>
    </row>
    <row r="1650" ht="26.25" customHeight="1" spans="1:14">
      <c r="A1650" s="198" t="s">
        <v>1414</v>
      </c>
      <c r="B1650" s="199" t="s">
        <v>1415</v>
      </c>
      <c r="C1650" s="199"/>
      <c r="D1650" s="200">
        <f t="shared" ref="D1650:L1650" si="695">D1651</f>
        <v>3.2</v>
      </c>
      <c r="E1650" s="200">
        <f t="shared" si="695"/>
        <v>0</v>
      </c>
      <c r="F1650" s="200">
        <f t="shared" si="695"/>
        <v>0</v>
      </c>
      <c r="G1650" s="200">
        <f t="shared" si="695"/>
        <v>0</v>
      </c>
      <c r="H1650" s="200">
        <f t="shared" si="695"/>
        <v>0</v>
      </c>
      <c r="I1650" s="200">
        <f t="shared" si="695"/>
        <v>3.2</v>
      </c>
      <c r="J1650" s="200">
        <f t="shared" si="695"/>
        <v>3.2</v>
      </c>
      <c r="K1650" s="200">
        <f t="shared" si="695"/>
        <v>0</v>
      </c>
      <c r="L1650" s="200">
        <f t="shared" si="695"/>
        <v>0</v>
      </c>
      <c r="M1650" s="211"/>
      <c r="N1650" s="176">
        <f t="shared" si="683"/>
        <v>3.2</v>
      </c>
    </row>
    <row r="1651" ht="26.25" customHeight="1" spans="1:14">
      <c r="A1651" s="198" t="s">
        <v>1416</v>
      </c>
      <c r="B1651" s="199" t="s">
        <v>1417</v>
      </c>
      <c r="C1651" s="199"/>
      <c r="D1651" s="200">
        <f t="shared" ref="D1651:L1651" si="696">D1652</f>
        <v>3.2</v>
      </c>
      <c r="E1651" s="200">
        <f t="shared" si="696"/>
        <v>0</v>
      </c>
      <c r="F1651" s="200">
        <f t="shared" si="696"/>
        <v>0</v>
      </c>
      <c r="G1651" s="200">
        <f t="shared" si="696"/>
        <v>0</v>
      </c>
      <c r="H1651" s="200">
        <f t="shared" si="696"/>
        <v>0</v>
      </c>
      <c r="I1651" s="200">
        <f t="shared" si="696"/>
        <v>3.2</v>
      </c>
      <c r="J1651" s="200">
        <f t="shared" si="696"/>
        <v>3.2</v>
      </c>
      <c r="K1651" s="200">
        <f t="shared" si="696"/>
        <v>0</v>
      </c>
      <c r="L1651" s="200">
        <f t="shared" si="696"/>
        <v>0</v>
      </c>
      <c r="M1651" s="211"/>
      <c r="N1651" s="176">
        <f t="shared" si="683"/>
        <v>3.2</v>
      </c>
    </row>
    <row r="1652" ht="26.25" customHeight="1" spans="1:14">
      <c r="A1652" s="202"/>
      <c r="B1652" s="203"/>
      <c r="C1652" s="203" t="s">
        <v>380</v>
      </c>
      <c r="D1652" s="200">
        <f>E1652+I1652</f>
        <v>3.2</v>
      </c>
      <c r="E1652" s="204">
        <f>SUM(F1652:H1652)</f>
        <v>0</v>
      </c>
      <c r="F1652" s="205"/>
      <c r="G1652" s="205"/>
      <c r="H1652" s="205"/>
      <c r="I1652" s="204">
        <f>SUM(J1652:L1652)</f>
        <v>3.2</v>
      </c>
      <c r="J1652" s="212">
        <v>3.2</v>
      </c>
      <c r="K1652" s="205"/>
      <c r="L1652" s="205"/>
      <c r="M1652" s="213" t="s">
        <v>1418</v>
      </c>
      <c r="N1652" s="176">
        <f t="shared" si="683"/>
        <v>3.2</v>
      </c>
    </row>
    <row r="1653" ht="26.25" customHeight="1" spans="1:14">
      <c r="A1653" s="198" t="s">
        <v>1419</v>
      </c>
      <c r="B1653" s="199" t="s">
        <v>1420</v>
      </c>
      <c r="C1653" s="199"/>
      <c r="D1653" s="200">
        <f>SUM(D1654,D1667,D1672,D1681)</f>
        <v>1890.953935</v>
      </c>
      <c r="E1653" s="200">
        <f t="shared" ref="E1653:L1653" si="697">SUM(E1654,E1667,E1672,E1681)</f>
        <v>970.593935</v>
      </c>
      <c r="F1653" s="200">
        <f t="shared" si="697"/>
        <v>921.083819</v>
      </c>
      <c r="G1653" s="200">
        <f t="shared" si="697"/>
        <v>40.878</v>
      </c>
      <c r="H1653" s="200">
        <f t="shared" si="697"/>
        <v>8.632116</v>
      </c>
      <c r="I1653" s="200">
        <f t="shared" si="697"/>
        <v>920.36</v>
      </c>
      <c r="J1653" s="200">
        <f t="shared" si="697"/>
        <v>815.4</v>
      </c>
      <c r="K1653" s="200">
        <f t="shared" si="697"/>
        <v>104.96</v>
      </c>
      <c r="L1653" s="200">
        <f t="shared" si="697"/>
        <v>0</v>
      </c>
      <c r="M1653" s="211"/>
      <c r="N1653" s="176">
        <f t="shared" si="683"/>
        <v>1785.993935</v>
      </c>
    </row>
    <row r="1654" ht="26.25" customHeight="1" spans="1:14">
      <c r="A1654" s="198" t="s">
        <v>1421</v>
      </c>
      <c r="B1654" s="199" t="s">
        <v>1422</v>
      </c>
      <c r="C1654" s="199"/>
      <c r="D1654" s="200">
        <f>D1655+D1657+D1659+D1663+D1665+D1661</f>
        <v>453.376883</v>
      </c>
      <c r="E1654" s="200">
        <f t="shared" ref="E1654:L1654" si="698">E1655+E1657+E1659+E1663+E1665+E1661</f>
        <v>349.916883</v>
      </c>
      <c r="F1654" s="200">
        <f t="shared" si="698"/>
        <v>306.910627</v>
      </c>
      <c r="G1654" s="200">
        <f t="shared" si="698"/>
        <v>35.834</v>
      </c>
      <c r="H1654" s="200">
        <f t="shared" si="698"/>
        <v>7.172256</v>
      </c>
      <c r="I1654" s="200">
        <f t="shared" si="698"/>
        <v>103.46</v>
      </c>
      <c r="J1654" s="200">
        <f t="shared" si="698"/>
        <v>65.5</v>
      </c>
      <c r="K1654" s="200">
        <f t="shared" si="698"/>
        <v>37.96</v>
      </c>
      <c r="L1654" s="200">
        <f t="shared" si="698"/>
        <v>0</v>
      </c>
      <c r="M1654" s="211"/>
      <c r="N1654" s="176">
        <f t="shared" si="683"/>
        <v>415.416883</v>
      </c>
    </row>
    <row r="1655" ht="26.25" customHeight="1" spans="1:14">
      <c r="A1655" s="198" t="s">
        <v>1423</v>
      </c>
      <c r="B1655" s="199" t="s">
        <v>295</v>
      </c>
      <c r="C1655" s="199"/>
      <c r="D1655" s="200">
        <f t="shared" ref="D1655:L1655" si="699">D1656</f>
        <v>331.679983</v>
      </c>
      <c r="E1655" s="200">
        <f t="shared" si="699"/>
        <v>331.679983</v>
      </c>
      <c r="F1655" s="200">
        <f t="shared" si="699"/>
        <v>288.673727</v>
      </c>
      <c r="G1655" s="200">
        <f t="shared" si="699"/>
        <v>35.834</v>
      </c>
      <c r="H1655" s="200">
        <f t="shared" si="699"/>
        <v>7.172256</v>
      </c>
      <c r="I1655" s="200">
        <f t="shared" si="699"/>
        <v>0</v>
      </c>
      <c r="J1655" s="200">
        <f t="shared" si="699"/>
        <v>0</v>
      </c>
      <c r="K1655" s="200">
        <f t="shared" si="699"/>
        <v>0</v>
      </c>
      <c r="L1655" s="200">
        <f t="shared" si="699"/>
        <v>0</v>
      </c>
      <c r="M1655" s="211"/>
      <c r="N1655" s="176">
        <f t="shared" si="683"/>
        <v>331.679983</v>
      </c>
    </row>
    <row r="1656" ht="26.25" customHeight="1" spans="1:14">
      <c r="A1656" s="202"/>
      <c r="B1656" s="203"/>
      <c r="C1656" s="203" t="s">
        <v>542</v>
      </c>
      <c r="D1656" s="200">
        <f t="shared" ref="D1656:D1660" si="700">E1656+I1656</f>
        <v>331.679983</v>
      </c>
      <c r="E1656" s="204">
        <f t="shared" ref="E1656:E1660" si="701">SUM(F1656:H1656)</f>
        <v>331.679983</v>
      </c>
      <c r="F1656" s="205">
        <v>288.673727</v>
      </c>
      <c r="G1656" s="205">
        <v>35.834</v>
      </c>
      <c r="H1656" s="205">
        <v>7.172256</v>
      </c>
      <c r="I1656" s="204">
        <f t="shared" ref="I1656:I1660" si="702">SUM(J1656:L1656)</f>
        <v>0</v>
      </c>
      <c r="J1656" s="212"/>
      <c r="K1656" s="205"/>
      <c r="L1656" s="205"/>
      <c r="M1656" s="213"/>
      <c r="N1656" s="176">
        <f t="shared" si="683"/>
        <v>331.679983</v>
      </c>
    </row>
    <row r="1657" ht="26.25" customHeight="1" spans="1:14">
      <c r="A1657" s="198" t="s">
        <v>1424</v>
      </c>
      <c r="B1657" s="199" t="s">
        <v>382</v>
      </c>
      <c r="C1657" s="199"/>
      <c r="D1657" s="200">
        <f t="shared" ref="D1657:L1657" si="703">D1658</f>
        <v>18.02</v>
      </c>
      <c r="E1657" s="200">
        <f t="shared" si="703"/>
        <v>0</v>
      </c>
      <c r="F1657" s="200">
        <f t="shared" si="703"/>
        <v>0</v>
      </c>
      <c r="G1657" s="200">
        <f t="shared" si="703"/>
        <v>0</v>
      </c>
      <c r="H1657" s="200">
        <f t="shared" si="703"/>
        <v>0</v>
      </c>
      <c r="I1657" s="200">
        <f t="shared" si="703"/>
        <v>18.02</v>
      </c>
      <c r="J1657" s="200">
        <f t="shared" si="703"/>
        <v>18.02</v>
      </c>
      <c r="K1657" s="200">
        <f t="shared" si="703"/>
        <v>0</v>
      </c>
      <c r="L1657" s="200">
        <f t="shared" si="703"/>
        <v>0</v>
      </c>
      <c r="M1657" s="211"/>
      <c r="N1657" s="176">
        <f t="shared" si="683"/>
        <v>18.02</v>
      </c>
    </row>
    <row r="1658" ht="26.25" customHeight="1" spans="1:14">
      <c r="A1658" s="202"/>
      <c r="B1658" s="203"/>
      <c r="C1658" s="203" t="s">
        <v>542</v>
      </c>
      <c r="D1658" s="200">
        <f t="shared" si="700"/>
        <v>18.02</v>
      </c>
      <c r="E1658" s="204">
        <f t="shared" si="701"/>
        <v>0</v>
      </c>
      <c r="F1658" s="205"/>
      <c r="G1658" s="205"/>
      <c r="H1658" s="205"/>
      <c r="I1658" s="204">
        <f t="shared" si="702"/>
        <v>18.02</v>
      </c>
      <c r="J1658" s="212">
        <v>18.02</v>
      </c>
      <c r="K1658" s="205"/>
      <c r="L1658" s="205"/>
      <c r="M1658" s="213" t="s">
        <v>1425</v>
      </c>
      <c r="N1658" s="176">
        <f t="shared" si="683"/>
        <v>18.02</v>
      </c>
    </row>
    <row r="1659" ht="26.25" customHeight="1" spans="1:14">
      <c r="A1659" s="198" t="s">
        <v>1426</v>
      </c>
      <c r="B1659" s="199" t="s">
        <v>325</v>
      </c>
      <c r="C1659" s="199"/>
      <c r="D1659" s="200">
        <f t="shared" ref="D1659:L1659" si="704">D1660</f>
        <v>0.18</v>
      </c>
      <c r="E1659" s="200">
        <f t="shared" si="704"/>
        <v>0</v>
      </c>
      <c r="F1659" s="200">
        <f t="shared" si="704"/>
        <v>0</v>
      </c>
      <c r="G1659" s="200">
        <f t="shared" si="704"/>
        <v>0</v>
      </c>
      <c r="H1659" s="200">
        <f t="shared" si="704"/>
        <v>0</v>
      </c>
      <c r="I1659" s="200">
        <f t="shared" si="704"/>
        <v>0.18</v>
      </c>
      <c r="J1659" s="200">
        <f t="shared" si="704"/>
        <v>0.18</v>
      </c>
      <c r="K1659" s="200">
        <f t="shared" si="704"/>
        <v>0</v>
      </c>
      <c r="L1659" s="200">
        <f t="shared" si="704"/>
        <v>0</v>
      </c>
      <c r="M1659" s="211"/>
      <c r="N1659" s="176">
        <f t="shared" si="683"/>
        <v>0.18</v>
      </c>
    </row>
    <row r="1660" ht="26.25" customHeight="1" spans="1:14">
      <c r="A1660" s="202"/>
      <c r="B1660" s="203"/>
      <c r="C1660" s="203" t="s">
        <v>542</v>
      </c>
      <c r="D1660" s="200">
        <f t="shared" si="700"/>
        <v>0.18</v>
      </c>
      <c r="E1660" s="204">
        <f t="shared" si="701"/>
        <v>0</v>
      </c>
      <c r="F1660" s="205"/>
      <c r="G1660" s="205"/>
      <c r="H1660" s="205"/>
      <c r="I1660" s="204">
        <f t="shared" si="702"/>
        <v>0.18</v>
      </c>
      <c r="J1660" s="212">
        <v>0.18</v>
      </c>
      <c r="K1660" s="205"/>
      <c r="L1660" s="205"/>
      <c r="M1660" s="213" t="s">
        <v>1427</v>
      </c>
      <c r="N1660" s="176">
        <f t="shared" si="683"/>
        <v>0.18</v>
      </c>
    </row>
    <row r="1661" ht="26.25" customHeight="1" spans="1:14">
      <c r="A1661" s="217">
        <v>2240104</v>
      </c>
      <c r="B1661" s="199" t="s">
        <v>1428</v>
      </c>
      <c r="C1661" s="203"/>
      <c r="D1661" s="200">
        <f>D1662</f>
        <v>37.96</v>
      </c>
      <c r="E1661" s="200">
        <f t="shared" ref="E1661:K1661" si="705">E1662</f>
        <v>0</v>
      </c>
      <c r="F1661" s="200">
        <f t="shared" si="705"/>
        <v>0</v>
      </c>
      <c r="G1661" s="200">
        <f t="shared" si="705"/>
        <v>0</v>
      </c>
      <c r="H1661" s="200">
        <f t="shared" si="705"/>
        <v>0</v>
      </c>
      <c r="I1661" s="200">
        <f t="shared" si="705"/>
        <v>37.96</v>
      </c>
      <c r="J1661" s="200">
        <f t="shared" si="705"/>
        <v>0</v>
      </c>
      <c r="K1661" s="200">
        <f t="shared" si="705"/>
        <v>37.96</v>
      </c>
      <c r="L1661" s="205"/>
      <c r="M1661" s="213"/>
      <c r="N1661" s="176">
        <f t="shared" si="683"/>
        <v>0</v>
      </c>
    </row>
    <row r="1662" ht="26.25" customHeight="1" spans="1:14">
      <c r="A1662" s="202"/>
      <c r="B1662" s="203"/>
      <c r="C1662" s="203" t="s">
        <v>542</v>
      </c>
      <c r="D1662" s="200">
        <f>E1662+I1662</f>
        <v>37.96</v>
      </c>
      <c r="E1662" s="204"/>
      <c r="F1662" s="205"/>
      <c r="G1662" s="205"/>
      <c r="H1662" s="205"/>
      <c r="I1662" s="204">
        <f>K1662</f>
        <v>37.96</v>
      </c>
      <c r="J1662" s="212"/>
      <c r="K1662" s="205">
        <v>37.96</v>
      </c>
      <c r="L1662" s="205"/>
      <c r="M1662" s="213"/>
      <c r="N1662" s="176">
        <f t="shared" si="683"/>
        <v>0</v>
      </c>
    </row>
    <row r="1663" ht="26.25" customHeight="1" spans="1:14">
      <c r="A1663" s="198" t="s">
        <v>1429</v>
      </c>
      <c r="B1663" s="199" t="s">
        <v>1430</v>
      </c>
      <c r="C1663" s="199"/>
      <c r="D1663" s="200">
        <f t="shared" ref="D1663:L1663" si="706">D1664</f>
        <v>53.5369</v>
      </c>
      <c r="E1663" s="200">
        <f t="shared" si="706"/>
        <v>18.2369</v>
      </c>
      <c r="F1663" s="200">
        <f t="shared" si="706"/>
        <v>18.2369</v>
      </c>
      <c r="G1663" s="200">
        <f t="shared" si="706"/>
        <v>0</v>
      </c>
      <c r="H1663" s="200">
        <f t="shared" si="706"/>
        <v>0</v>
      </c>
      <c r="I1663" s="200">
        <f t="shared" si="706"/>
        <v>35.3</v>
      </c>
      <c r="J1663" s="200">
        <f t="shared" si="706"/>
        <v>35.3</v>
      </c>
      <c r="K1663" s="200">
        <f t="shared" si="706"/>
        <v>0</v>
      </c>
      <c r="L1663" s="200">
        <f t="shared" si="706"/>
        <v>0</v>
      </c>
      <c r="M1663" s="211"/>
      <c r="N1663" s="176">
        <f t="shared" si="683"/>
        <v>53.5369</v>
      </c>
    </row>
    <row r="1664" ht="26.25" customHeight="1" spans="1:14">
      <c r="A1664" s="202"/>
      <c r="B1664" s="203"/>
      <c r="C1664" s="203" t="s">
        <v>542</v>
      </c>
      <c r="D1664" s="200">
        <f t="shared" ref="D1664:D1669" si="707">E1664+I1664</f>
        <v>53.5369</v>
      </c>
      <c r="E1664" s="204">
        <f t="shared" ref="E1664:E1669" si="708">SUM(F1664:H1664)</f>
        <v>18.2369</v>
      </c>
      <c r="F1664" s="205">
        <v>18.2369</v>
      </c>
      <c r="G1664" s="205"/>
      <c r="H1664" s="205"/>
      <c r="I1664" s="204">
        <f t="shared" ref="I1664:I1669" si="709">SUM(J1664:L1664)</f>
        <v>35.3</v>
      </c>
      <c r="J1664" s="212">
        <v>35.3</v>
      </c>
      <c r="K1664" s="205"/>
      <c r="L1664" s="205"/>
      <c r="M1664" s="213" t="s">
        <v>1431</v>
      </c>
      <c r="N1664" s="176">
        <f t="shared" si="683"/>
        <v>53.5369</v>
      </c>
    </row>
    <row r="1665" ht="26.25" customHeight="1" spans="1:14">
      <c r="A1665" s="198" t="s">
        <v>1432</v>
      </c>
      <c r="B1665" s="199" t="s">
        <v>1433</v>
      </c>
      <c r="C1665" s="199"/>
      <c r="D1665" s="200">
        <f t="shared" ref="D1665:L1665" si="710">D1666</f>
        <v>12</v>
      </c>
      <c r="E1665" s="200">
        <f t="shared" si="710"/>
        <v>0</v>
      </c>
      <c r="F1665" s="200">
        <f t="shared" si="710"/>
        <v>0</v>
      </c>
      <c r="G1665" s="200">
        <f t="shared" si="710"/>
        <v>0</v>
      </c>
      <c r="H1665" s="200">
        <f t="shared" si="710"/>
        <v>0</v>
      </c>
      <c r="I1665" s="200">
        <f t="shared" si="710"/>
        <v>12</v>
      </c>
      <c r="J1665" s="200">
        <f t="shared" si="710"/>
        <v>12</v>
      </c>
      <c r="K1665" s="200">
        <f t="shared" si="710"/>
        <v>0</v>
      </c>
      <c r="L1665" s="200">
        <f t="shared" si="710"/>
        <v>0</v>
      </c>
      <c r="M1665" s="211"/>
      <c r="N1665" s="176">
        <f t="shared" si="683"/>
        <v>12</v>
      </c>
    </row>
    <row r="1666" ht="26.25" customHeight="1" spans="1:14">
      <c r="A1666" s="202"/>
      <c r="B1666" s="203"/>
      <c r="C1666" s="203" t="s">
        <v>542</v>
      </c>
      <c r="D1666" s="200">
        <f t="shared" si="707"/>
        <v>12</v>
      </c>
      <c r="E1666" s="204">
        <f t="shared" si="708"/>
        <v>0</v>
      </c>
      <c r="F1666" s="205"/>
      <c r="G1666" s="205"/>
      <c r="H1666" s="205"/>
      <c r="I1666" s="204">
        <f t="shared" si="709"/>
        <v>12</v>
      </c>
      <c r="J1666" s="212">
        <v>12</v>
      </c>
      <c r="K1666" s="205"/>
      <c r="L1666" s="205"/>
      <c r="M1666" s="213" t="s">
        <v>1434</v>
      </c>
      <c r="N1666" s="176">
        <f t="shared" si="683"/>
        <v>12</v>
      </c>
    </row>
    <row r="1667" ht="26.25" customHeight="1" spans="1:14">
      <c r="A1667" s="198" t="s">
        <v>1435</v>
      </c>
      <c r="B1667" s="199" t="s">
        <v>1436</v>
      </c>
      <c r="C1667" s="199"/>
      <c r="D1667" s="200">
        <f t="shared" ref="D1667:L1667" si="711">D1668+D1670</f>
        <v>1315.185639</v>
      </c>
      <c r="E1667" s="200">
        <f t="shared" si="711"/>
        <v>580.285639</v>
      </c>
      <c r="F1667" s="200">
        <f t="shared" si="711"/>
        <v>580.285639</v>
      </c>
      <c r="G1667" s="200">
        <f t="shared" si="711"/>
        <v>0</v>
      </c>
      <c r="H1667" s="200">
        <f t="shared" si="711"/>
        <v>0</v>
      </c>
      <c r="I1667" s="200">
        <f t="shared" si="711"/>
        <v>734.9</v>
      </c>
      <c r="J1667" s="200">
        <f t="shared" si="711"/>
        <v>734.9</v>
      </c>
      <c r="K1667" s="200">
        <f t="shared" si="711"/>
        <v>0</v>
      </c>
      <c r="L1667" s="200">
        <f t="shared" si="711"/>
        <v>0</v>
      </c>
      <c r="M1667" s="211"/>
      <c r="N1667" s="176">
        <f t="shared" si="683"/>
        <v>1315.185639</v>
      </c>
    </row>
    <row r="1668" ht="26.25" customHeight="1" spans="1:14">
      <c r="A1668" s="198" t="s">
        <v>1437</v>
      </c>
      <c r="B1668" s="199" t="s">
        <v>382</v>
      </c>
      <c r="C1668" s="199"/>
      <c r="D1668" s="200">
        <f t="shared" ref="D1668:L1668" si="712">D1669</f>
        <v>594.785639</v>
      </c>
      <c r="E1668" s="200">
        <f t="shared" si="712"/>
        <v>580.285639</v>
      </c>
      <c r="F1668" s="200">
        <f t="shared" si="712"/>
        <v>580.285639</v>
      </c>
      <c r="G1668" s="200">
        <f t="shared" si="712"/>
        <v>0</v>
      </c>
      <c r="H1668" s="200">
        <f t="shared" si="712"/>
        <v>0</v>
      </c>
      <c r="I1668" s="200">
        <f t="shared" si="712"/>
        <v>14.5</v>
      </c>
      <c r="J1668" s="200">
        <f t="shared" si="712"/>
        <v>14.5</v>
      </c>
      <c r="K1668" s="200">
        <f t="shared" si="712"/>
        <v>0</v>
      </c>
      <c r="L1668" s="200">
        <f t="shared" si="712"/>
        <v>0</v>
      </c>
      <c r="M1668" s="211"/>
      <c r="N1668" s="176">
        <f t="shared" ref="N1668:N1700" si="713">J1668+E1668</f>
        <v>594.785639</v>
      </c>
    </row>
    <row r="1669" ht="26.25" customHeight="1" spans="1:14">
      <c r="A1669" s="202"/>
      <c r="B1669" s="203"/>
      <c r="C1669" s="203" t="s">
        <v>542</v>
      </c>
      <c r="D1669" s="200">
        <f t="shared" si="707"/>
        <v>594.785639</v>
      </c>
      <c r="E1669" s="204">
        <f t="shared" si="708"/>
        <v>580.285639</v>
      </c>
      <c r="F1669" s="205">
        <v>580.285639</v>
      </c>
      <c r="G1669" s="205"/>
      <c r="H1669" s="205"/>
      <c r="I1669" s="204">
        <f t="shared" si="709"/>
        <v>14.5</v>
      </c>
      <c r="J1669" s="212">
        <v>14.5</v>
      </c>
      <c r="K1669" s="205"/>
      <c r="L1669" s="205"/>
      <c r="M1669" s="213" t="s">
        <v>1438</v>
      </c>
      <c r="N1669" s="176">
        <f t="shared" si="713"/>
        <v>594.785639</v>
      </c>
    </row>
    <row r="1670" ht="26.25" customHeight="1" spans="1:14">
      <c r="A1670" s="198" t="s">
        <v>1439</v>
      </c>
      <c r="B1670" s="199" t="s">
        <v>1440</v>
      </c>
      <c r="C1670" s="199"/>
      <c r="D1670" s="200">
        <f t="shared" ref="D1670:L1670" si="714">D1671</f>
        <v>720.4</v>
      </c>
      <c r="E1670" s="200">
        <f t="shared" si="714"/>
        <v>0</v>
      </c>
      <c r="F1670" s="200">
        <f t="shared" si="714"/>
        <v>0</v>
      </c>
      <c r="G1670" s="200">
        <f t="shared" si="714"/>
        <v>0</v>
      </c>
      <c r="H1670" s="200">
        <f t="shared" si="714"/>
        <v>0</v>
      </c>
      <c r="I1670" s="200">
        <f t="shared" si="714"/>
        <v>720.4</v>
      </c>
      <c r="J1670" s="200">
        <f t="shared" si="714"/>
        <v>720.4</v>
      </c>
      <c r="K1670" s="200">
        <f t="shared" si="714"/>
        <v>0</v>
      </c>
      <c r="L1670" s="200">
        <f t="shared" si="714"/>
        <v>0</v>
      </c>
      <c r="M1670" s="211"/>
      <c r="N1670" s="176">
        <f t="shared" si="713"/>
        <v>720.4</v>
      </c>
    </row>
    <row r="1671" ht="26.25" customHeight="1" spans="1:14">
      <c r="A1671" s="202"/>
      <c r="B1671" s="203"/>
      <c r="C1671" s="203" t="s">
        <v>1441</v>
      </c>
      <c r="D1671" s="200">
        <f t="shared" ref="D1671:D1676" si="715">E1671+I1671</f>
        <v>720.4</v>
      </c>
      <c r="E1671" s="204">
        <f t="shared" ref="E1671:E1676" si="716">SUM(F1671:H1671)</f>
        <v>0</v>
      </c>
      <c r="F1671" s="205"/>
      <c r="G1671" s="205"/>
      <c r="H1671" s="205"/>
      <c r="I1671" s="204">
        <f t="shared" ref="I1671:I1676" si="717">SUM(J1671:L1671)</f>
        <v>720.4</v>
      </c>
      <c r="J1671" s="212">
        <v>720.4</v>
      </c>
      <c r="K1671" s="205"/>
      <c r="L1671" s="205"/>
      <c r="M1671" s="213" t="s">
        <v>1442</v>
      </c>
      <c r="N1671" s="176">
        <f t="shared" si="713"/>
        <v>720.4</v>
      </c>
    </row>
    <row r="1672" ht="26.25" customHeight="1" spans="1:14">
      <c r="A1672" s="198" t="s">
        <v>1443</v>
      </c>
      <c r="B1672" s="199" t="s">
        <v>1444</v>
      </c>
      <c r="C1672" s="199"/>
      <c r="D1672" s="200">
        <f t="shared" ref="D1672:L1672" si="718">D1673+D1675+D1677+D1679</f>
        <v>55.391413</v>
      </c>
      <c r="E1672" s="200">
        <f t="shared" si="718"/>
        <v>40.391413</v>
      </c>
      <c r="F1672" s="200">
        <f t="shared" si="718"/>
        <v>33.887553</v>
      </c>
      <c r="G1672" s="200">
        <f t="shared" si="718"/>
        <v>5.044</v>
      </c>
      <c r="H1672" s="200">
        <f t="shared" si="718"/>
        <v>1.45986</v>
      </c>
      <c r="I1672" s="200">
        <f t="shared" si="718"/>
        <v>15</v>
      </c>
      <c r="J1672" s="200">
        <f t="shared" si="718"/>
        <v>15</v>
      </c>
      <c r="K1672" s="200">
        <f t="shared" si="718"/>
        <v>0</v>
      </c>
      <c r="L1672" s="200">
        <f t="shared" si="718"/>
        <v>0</v>
      </c>
      <c r="M1672" s="211"/>
      <c r="N1672" s="176">
        <f t="shared" si="713"/>
        <v>55.391413</v>
      </c>
    </row>
    <row r="1673" ht="26.25" customHeight="1" spans="1:14">
      <c r="A1673" s="198" t="s">
        <v>1445</v>
      </c>
      <c r="B1673" s="199" t="s">
        <v>295</v>
      </c>
      <c r="C1673" s="199"/>
      <c r="D1673" s="200">
        <f t="shared" ref="D1673:L1673" si="719">D1674</f>
        <v>40.391413</v>
      </c>
      <c r="E1673" s="200">
        <f t="shared" si="719"/>
        <v>40.391413</v>
      </c>
      <c r="F1673" s="200">
        <f t="shared" si="719"/>
        <v>33.887553</v>
      </c>
      <c r="G1673" s="200">
        <f t="shared" si="719"/>
        <v>5.044</v>
      </c>
      <c r="H1673" s="200">
        <f t="shared" si="719"/>
        <v>1.45986</v>
      </c>
      <c r="I1673" s="200">
        <f t="shared" si="719"/>
        <v>0</v>
      </c>
      <c r="J1673" s="200">
        <f t="shared" si="719"/>
        <v>0</v>
      </c>
      <c r="K1673" s="200">
        <f t="shared" si="719"/>
        <v>0</v>
      </c>
      <c r="L1673" s="200">
        <f t="shared" si="719"/>
        <v>0</v>
      </c>
      <c r="M1673" s="211"/>
      <c r="N1673" s="176">
        <f t="shared" si="713"/>
        <v>40.391413</v>
      </c>
    </row>
    <row r="1674" ht="26.25" customHeight="1" spans="1:14">
      <c r="A1674" s="202"/>
      <c r="B1674" s="203"/>
      <c r="C1674" s="203" t="s">
        <v>531</v>
      </c>
      <c r="D1674" s="200">
        <f t="shared" si="715"/>
        <v>40.391413</v>
      </c>
      <c r="E1674" s="204">
        <f t="shared" si="716"/>
        <v>40.391413</v>
      </c>
      <c r="F1674" s="205">
        <v>33.887553</v>
      </c>
      <c r="G1674" s="205">
        <v>5.044</v>
      </c>
      <c r="H1674" s="205">
        <v>1.45986</v>
      </c>
      <c r="I1674" s="204">
        <f t="shared" si="717"/>
        <v>0</v>
      </c>
      <c r="J1674" s="212"/>
      <c r="K1674" s="205"/>
      <c r="L1674" s="205"/>
      <c r="M1674" s="213"/>
      <c r="N1674" s="176">
        <f t="shared" si="713"/>
        <v>40.391413</v>
      </c>
    </row>
    <row r="1675" ht="26.25" customHeight="1" spans="1:14">
      <c r="A1675" s="198" t="s">
        <v>1446</v>
      </c>
      <c r="B1675" s="199" t="s">
        <v>1447</v>
      </c>
      <c r="C1675" s="199"/>
      <c r="D1675" s="200">
        <f t="shared" ref="D1675:L1675" si="720">D1676</f>
        <v>4.81</v>
      </c>
      <c r="E1675" s="200">
        <f t="shared" si="720"/>
        <v>0</v>
      </c>
      <c r="F1675" s="200">
        <f t="shared" si="720"/>
        <v>0</v>
      </c>
      <c r="G1675" s="200">
        <f t="shared" si="720"/>
        <v>0</v>
      </c>
      <c r="H1675" s="200">
        <f t="shared" si="720"/>
        <v>0</v>
      </c>
      <c r="I1675" s="200">
        <f t="shared" si="720"/>
        <v>4.81</v>
      </c>
      <c r="J1675" s="200">
        <f t="shared" si="720"/>
        <v>4.81</v>
      </c>
      <c r="K1675" s="200">
        <f t="shared" si="720"/>
        <v>0</v>
      </c>
      <c r="L1675" s="200">
        <f t="shared" si="720"/>
        <v>0</v>
      </c>
      <c r="M1675" s="211"/>
      <c r="N1675" s="176">
        <f t="shared" si="713"/>
        <v>4.81</v>
      </c>
    </row>
    <row r="1676" ht="26.25" customHeight="1" spans="1:14">
      <c r="A1676" s="202"/>
      <c r="B1676" s="203"/>
      <c r="C1676" s="203" t="s">
        <v>531</v>
      </c>
      <c r="D1676" s="200">
        <f t="shared" si="715"/>
        <v>4.81</v>
      </c>
      <c r="E1676" s="204">
        <f t="shared" si="716"/>
        <v>0</v>
      </c>
      <c r="F1676" s="205"/>
      <c r="G1676" s="205"/>
      <c r="H1676" s="205"/>
      <c r="I1676" s="204">
        <f t="shared" si="717"/>
        <v>4.81</v>
      </c>
      <c r="J1676" s="212">
        <v>4.81</v>
      </c>
      <c r="K1676" s="205"/>
      <c r="L1676" s="205"/>
      <c r="M1676" s="213" t="s">
        <v>1448</v>
      </c>
      <c r="N1676" s="176">
        <f t="shared" si="713"/>
        <v>4.81</v>
      </c>
    </row>
    <row r="1677" ht="26.25" customHeight="1" spans="1:14">
      <c r="A1677" s="198" t="s">
        <v>1449</v>
      </c>
      <c r="B1677" s="199" t="s">
        <v>1450</v>
      </c>
      <c r="C1677" s="199"/>
      <c r="D1677" s="200">
        <f t="shared" ref="D1677:L1677" si="721">D1678</f>
        <v>7.15</v>
      </c>
      <c r="E1677" s="200">
        <f t="shared" si="721"/>
        <v>0</v>
      </c>
      <c r="F1677" s="200">
        <f t="shared" si="721"/>
        <v>0</v>
      </c>
      <c r="G1677" s="200">
        <f t="shared" si="721"/>
        <v>0</v>
      </c>
      <c r="H1677" s="200">
        <f t="shared" si="721"/>
        <v>0</v>
      </c>
      <c r="I1677" s="200">
        <f t="shared" si="721"/>
        <v>7.15</v>
      </c>
      <c r="J1677" s="200">
        <f t="shared" si="721"/>
        <v>7.15</v>
      </c>
      <c r="K1677" s="200">
        <f t="shared" si="721"/>
        <v>0</v>
      </c>
      <c r="L1677" s="200">
        <f t="shared" si="721"/>
        <v>0</v>
      </c>
      <c r="M1677" s="211"/>
      <c r="N1677" s="176">
        <f t="shared" si="713"/>
        <v>7.15</v>
      </c>
    </row>
    <row r="1678" ht="26.25" customHeight="1" spans="1:14">
      <c r="A1678" s="202"/>
      <c r="B1678" s="203"/>
      <c r="C1678" s="203" t="s">
        <v>531</v>
      </c>
      <c r="D1678" s="200">
        <f>E1678+I1678</f>
        <v>7.15</v>
      </c>
      <c r="E1678" s="204">
        <f>SUM(F1678:H1678)</f>
        <v>0</v>
      </c>
      <c r="F1678" s="205"/>
      <c r="G1678" s="205"/>
      <c r="H1678" s="205"/>
      <c r="I1678" s="204">
        <f>SUM(J1678:L1678)</f>
        <v>7.15</v>
      </c>
      <c r="J1678" s="212">
        <v>7.15</v>
      </c>
      <c r="K1678" s="205"/>
      <c r="L1678" s="205"/>
      <c r="M1678" s="213" t="s">
        <v>1451</v>
      </c>
      <c r="N1678" s="176">
        <f t="shared" si="713"/>
        <v>7.15</v>
      </c>
    </row>
    <row r="1679" ht="26.25" customHeight="1" spans="1:14">
      <c r="A1679" s="198" t="s">
        <v>1452</v>
      </c>
      <c r="B1679" s="199" t="s">
        <v>1453</v>
      </c>
      <c r="C1679" s="199"/>
      <c r="D1679" s="200">
        <f t="shared" ref="D1679:L1679" si="722">D1680</f>
        <v>3.04</v>
      </c>
      <c r="E1679" s="200">
        <f t="shared" si="722"/>
        <v>0</v>
      </c>
      <c r="F1679" s="200">
        <f t="shared" si="722"/>
        <v>0</v>
      </c>
      <c r="G1679" s="200">
        <f t="shared" si="722"/>
        <v>0</v>
      </c>
      <c r="H1679" s="200">
        <f t="shared" si="722"/>
        <v>0</v>
      </c>
      <c r="I1679" s="200">
        <f t="shared" si="722"/>
        <v>3.04</v>
      </c>
      <c r="J1679" s="200">
        <f t="shared" si="722"/>
        <v>3.04</v>
      </c>
      <c r="K1679" s="200">
        <f t="shared" si="722"/>
        <v>0</v>
      </c>
      <c r="L1679" s="200">
        <f t="shared" si="722"/>
        <v>0</v>
      </c>
      <c r="M1679" s="211"/>
      <c r="N1679" s="176">
        <f t="shared" si="713"/>
        <v>3.04</v>
      </c>
    </row>
    <row r="1680" ht="26.25" customHeight="1" spans="1:14">
      <c r="A1680" s="202"/>
      <c r="B1680" s="203"/>
      <c r="C1680" s="203" t="s">
        <v>531</v>
      </c>
      <c r="D1680" s="200">
        <f>E1680+I1680</f>
        <v>3.04</v>
      </c>
      <c r="E1680" s="204">
        <f>SUM(F1680:H1680)</f>
        <v>0</v>
      </c>
      <c r="F1680" s="205"/>
      <c r="G1680" s="205"/>
      <c r="H1680" s="205"/>
      <c r="I1680" s="204">
        <f>SUM(J1680:L1680)</f>
        <v>3.04</v>
      </c>
      <c r="J1680" s="212">
        <v>3.04</v>
      </c>
      <c r="K1680" s="205"/>
      <c r="L1680" s="205"/>
      <c r="M1680" s="213" t="s">
        <v>1454</v>
      </c>
      <c r="N1680" s="176">
        <f t="shared" si="713"/>
        <v>3.04</v>
      </c>
    </row>
    <row r="1681" ht="26.25" customHeight="1" spans="1:14">
      <c r="A1681" s="217">
        <v>22407</v>
      </c>
      <c r="B1681" s="199" t="s">
        <v>1455</v>
      </c>
      <c r="C1681" s="203"/>
      <c r="D1681" s="200">
        <f>D1682</f>
        <v>67</v>
      </c>
      <c r="E1681" s="200">
        <f t="shared" ref="E1681:L1681" si="723">E1682</f>
        <v>0</v>
      </c>
      <c r="F1681" s="200">
        <f t="shared" si="723"/>
        <v>0</v>
      </c>
      <c r="G1681" s="200">
        <f t="shared" si="723"/>
        <v>0</v>
      </c>
      <c r="H1681" s="200">
        <f t="shared" si="723"/>
        <v>0</v>
      </c>
      <c r="I1681" s="200">
        <f t="shared" si="723"/>
        <v>67</v>
      </c>
      <c r="J1681" s="200">
        <f t="shared" si="723"/>
        <v>0</v>
      </c>
      <c r="K1681" s="200">
        <f t="shared" si="723"/>
        <v>67</v>
      </c>
      <c r="L1681" s="200">
        <f t="shared" si="723"/>
        <v>0</v>
      </c>
      <c r="M1681" s="213"/>
      <c r="N1681" s="176">
        <f t="shared" si="713"/>
        <v>0</v>
      </c>
    </row>
    <row r="1682" ht="26.25" customHeight="1" spans="1:14">
      <c r="A1682" s="217">
        <v>2240703</v>
      </c>
      <c r="B1682" s="199" t="s">
        <v>1456</v>
      </c>
      <c r="C1682" s="203"/>
      <c r="D1682" s="200">
        <f>D1683</f>
        <v>67</v>
      </c>
      <c r="E1682" s="200">
        <f t="shared" ref="E1682:L1682" si="724">E1683</f>
        <v>0</v>
      </c>
      <c r="F1682" s="200">
        <f t="shared" si="724"/>
        <v>0</v>
      </c>
      <c r="G1682" s="200">
        <f t="shared" si="724"/>
        <v>0</v>
      </c>
      <c r="H1682" s="200">
        <f t="shared" si="724"/>
        <v>0</v>
      </c>
      <c r="I1682" s="200">
        <f t="shared" si="724"/>
        <v>67</v>
      </c>
      <c r="J1682" s="200">
        <f t="shared" si="724"/>
        <v>0</v>
      </c>
      <c r="K1682" s="200">
        <f t="shared" si="724"/>
        <v>67</v>
      </c>
      <c r="L1682" s="200">
        <f t="shared" si="724"/>
        <v>0</v>
      </c>
      <c r="M1682" s="213"/>
      <c r="N1682" s="176">
        <f t="shared" si="713"/>
        <v>0</v>
      </c>
    </row>
    <row r="1683" ht="26.25" customHeight="1" spans="1:14">
      <c r="A1683" s="202"/>
      <c r="B1683" s="203"/>
      <c r="C1683" s="203" t="s">
        <v>542</v>
      </c>
      <c r="D1683" s="200">
        <f>E1683+I1683</f>
        <v>67</v>
      </c>
      <c r="E1683" s="204"/>
      <c r="F1683" s="205"/>
      <c r="G1683" s="205"/>
      <c r="H1683" s="205"/>
      <c r="I1683" s="204">
        <f>K1683</f>
        <v>67</v>
      </c>
      <c r="J1683" s="212"/>
      <c r="K1683" s="205">
        <v>67</v>
      </c>
      <c r="L1683" s="205"/>
      <c r="M1683" s="213"/>
      <c r="N1683" s="176">
        <f t="shared" si="713"/>
        <v>0</v>
      </c>
    </row>
    <row r="1684" ht="26.25" customHeight="1" spans="1:14">
      <c r="A1684" s="217">
        <v>227</v>
      </c>
      <c r="B1684" s="199" t="s">
        <v>1457</v>
      </c>
      <c r="C1684" s="203"/>
      <c r="D1684" s="200">
        <f>E1684+I1684</f>
        <v>1800</v>
      </c>
      <c r="E1684" s="204">
        <f>SUM(F1684:H1684)</f>
        <v>0</v>
      </c>
      <c r="F1684" s="205"/>
      <c r="G1684" s="205"/>
      <c r="H1684" s="205"/>
      <c r="I1684" s="204">
        <f>SUM(J1684:L1684)</f>
        <v>1800</v>
      </c>
      <c r="J1684" s="212">
        <v>1800</v>
      </c>
      <c r="K1684" s="205"/>
      <c r="L1684" s="205"/>
      <c r="M1684" s="213"/>
      <c r="N1684" s="176">
        <f t="shared" si="713"/>
        <v>1800</v>
      </c>
    </row>
    <row r="1685" ht="26.25" customHeight="1" spans="1:17">
      <c r="A1685" s="198" t="s">
        <v>1458</v>
      </c>
      <c r="B1685" s="199" t="s">
        <v>1459</v>
      </c>
      <c r="C1685" s="199"/>
      <c r="D1685" s="200">
        <f t="shared" ref="D1685:L1685" si="725">SUM(D1686,D1688)</f>
        <v>20518.82</v>
      </c>
      <c r="E1685" s="200">
        <f t="shared" si="725"/>
        <v>1649</v>
      </c>
      <c r="F1685" s="200">
        <f t="shared" si="725"/>
        <v>779</v>
      </c>
      <c r="G1685" s="200">
        <f t="shared" si="725"/>
        <v>0</v>
      </c>
      <c r="H1685" s="200">
        <f t="shared" si="725"/>
        <v>870</v>
      </c>
      <c r="I1685" s="200">
        <f t="shared" si="725"/>
        <v>18869.82</v>
      </c>
      <c r="J1685" s="200">
        <f t="shared" si="725"/>
        <v>13800</v>
      </c>
      <c r="K1685" s="200">
        <f t="shared" si="725"/>
        <v>5069.82</v>
      </c>
      <c r="L1685" s="200">
        <f t="shared" si="725"/>
        <v>0</v>
      </c>
      <c r="M1685" s="211"/>
      <c r="N1685" s="176">
        <f t="shared" si="713"/>
        <v>15449</v>
      </c>
      <c r="Q1685" s="176">
        <f>J1685+E1685</f>
        <v>15449</v>
      </c>
    </row>
    <row r="1686" ht="26.25" customHeight="1" spans="1:14">
      <c r="A1686" s="217">
        <v>22902</v>
      </c>
      <c r="B1686" s="203" t="s">
        <v>1460</v>
      </c>
      <c r="C1686" s="199"/>
      <c r="D1686" s="200">
        <f t="shared" ref="D1686:L1686" si="726">D1687</f>
        <v>2149</v>
      </c>
      <c r="E1686" s="200">
        <f t="shared" si="726"/>
        <v>1649</v>
      </c>
      <c r="F1686" s="200">
        <f t="shared" si="726"/>
        <v>779</v>
      </c>
      <c r="G1686" s="200">
        <f t="shared" si="726"/>
        <v>0</v>
      </c>
      <c r="H1686" s="200">
        <f t="shared" si="726"/>
        <v>870</v>
      </c>
      <c r="I1686" s="200">
        <f t="shared" si="726"/>
        <v>500</v>
      </c>
      <c r="J1686" s="200">
        <f t="shared" si="726"/>
        <v>500</v>
      </c>
      <c r="K1686" s="200">
        <f t="shared" si="726"/>
        <v>0</v>
      </c>
      <c r="L1686" s="200">
        <f t="shared" si="726"/>
        <v>0</v>
      </c>
      <c r="M1686" s="211"/>
      <c r="N1686" s="176">
        <f t="shared" si="713"/>
        <v>2149</v>
      </c>
    </row>
    <row r="1687" ht="26.25" customHeight="1" spans="1:14">
      <c r="A1687" s="217">
        <v>2290201</v>
      </c>
      <c r="B1687" s="203" t="s">
        <v>1460</v>
      </c>
      <c r="C1687" s="199"/>
      <c r="D1687" s="200">
        <f>E1687+I1687</f>
        <v>2149</v>
      </c>
      <c r="E1687" s="204">
        <f>SUM(F1687:H1687)</f>
        <v>1649</v>
      </c>
      <c r="F1687" s="204">
        <f>900-178+57</f>
        <v>779</v>
      </c>
      <c r="G1687" s="204"/>
      <c r="H1687" s="204">
        <f>70+800</f>
        <v>870</v>
      </c>
      <c r="I1687" s="204">
        <f>SUM(J1687:L1687)</f>
        <v>500</v>
      </c>
      <c r="J1687" s="216">
        <v>500</v>
      </c>
      <c r="K1687" s="204"/>
      <c r="L1687" s="204"/>
      <c r="M1687" s="213" t="s">
        <v>1461</v>
      </c>
      <c r="N1687" s="176">
        <f t="shared" si="713"/>
        <v>2149</v>
      </c>
    </row>
    <row r="1688" ht="26.25" customHeight="1" spans="1:14">
      <c r="A1688" s="198" t="s">
        <v>1462</v>
      </c>
      <c r="B1688" s="199" t="s">
        <v>1459</v>
      </c>
      <c r="C1688" s="199"/>
      <c r="D1688" s="200">
        <f t="shared" ref="D1688:L1688" si="727">D1689</f>
        <v>18369.82</v>
      </c>
      <c r="E1688" s="200">
        <f t="shared" si="727"/>
        <v>0</v>
      </c>
      <c r="F1688" s="200">
        <f t="shared" si="727"/>
        <v>0</v>
      </c>
      <c r="G1688" s="200">
        <f t="shared" si="727"/>
        <v>0</v>
      </c>
      <c r="H1688" s="200">
        <f t="shared" si="727"/>
        <v>0</v>
      </c>
      <c r="I1688" s="200">
        <f t="shared" si="727"/>
        <v>18369.82</v>
      </c>
      <c r="J1688" s="200">
        <f t="shared" si="727"/>
        <v>13300</v>
      </c>
      <c r="K1688" s="200">
        <f t="shared" si="727"/>
        <v>5069.82</v>
      </c>
      <c r="L1688" s="200">
        <f t="shared" si="727"/>
        <v>0</v>
      </c>
      <c r="M1688" s="211"/>
      <c r="N1688" s="176">
        <f t="shared" si="713"/>
        <v>13300</v>
      </c>
    </row>
    <row r="1689" ht="26.25" customHeight="1" spans="1:14">
      <c r="A1689" s="198" t="s">
        <v>1463</v>
      </c>
      <c r="B1689" s="199" t="s">
        <v>1459</v>
      </c>
      <c r="C1689" s="199"/>
      <c r="D1689" s="200">
        <f t="shared" ref="D1689:L1689" si="728">SUM(D1690:D1690)</f>
        <v>18369.82</v>
      </c>
      <c r="E1689" s="200">
        <f t="shared" si="728"/>
        <v>0</v>
      </c>
      <c r="F1689" s="200">
        <f t="shared" si="728"/>
        <v>0</v>
      </c>
      <c r="G1689" s="200">
        <f t="shared" si="728"/>
        <v>0</v>
      </c>
      <c r="H1689" s="200">
        <f t="shared" si="728"/>
        <v>0</v>
      </c>
      <c r="I1689" s="200">
        <f t="shared" si="728"/>
        <v>18369.82</v>
      </c>
      <c r="J1689" s="200">
        <f t="shared" si="728"/>
        <v>13300</v>
      </c>
      <c r="K1689" s="200">
        <f t="shared" si="728"/>
        <v>5069.82</v>
      </c>
      <c r="L1689" s="200">
        <f t="shared" si="728"/>
        <v>0</v>
      </c>
      <c r="M1689" s="211"/>
      <c r="N1689" s="176">
        <f t="shared" si="713"/>
        <v>13300</v>
      </c>
    </row>
    <row r="1690" ht="64.05" customHeight="1" spans="1:14">
      <c r="A1690" s="228"/>
      <c r="B1690" s="229"/>
      <c r="C1690" s="228"/>
      <c r="D1690" s="230">
        <f>E1690+I1690</f>
        <v>18369.82</v>
      </c>
      <c r="E1690" s="231">
        <f>SUM(F1690:H1690)</f>
        <v>0</v>
      </c>
      <c r="F1690" s="228"/>
      <c r="G1690" s="228"/>
      <c r="H1690" s="228"/>
      <c r="I1690" s="231">
        <f>SUM(J1690:L1690)</f>
        <v>18369.82</v>
      </c>
      <c r="J1690" s="194">
        <f>550+300+9640+100+380+2500+500-11-558+30+500-400-231</f>
        <v>13300</v>
      </c>
      <c r="K1690" s="194">
        <f>1282.82+3787</f>
        <v>5069.82</v>
      </c>
      <c r="L1690" s="228"/>
      <c r="M1690" s="229" t="s">
        <v>1464</v>
      </c>
      <c r="N1690" s="176">
        <f t="shared" si="713"/>
        <v>13300</v>
      </c>
    </row>
    <row r="1691" ht="22.05" customHeight="1" spans="1:14">
      <c r="A1691" s="232">
        <v>232</v>
      </c>
      <c r="B1691" s="233" t="s">
        <v>1465</v>
      </c>
      <c r="C1691" s="228"/>
      <c r="D1691" s="230">
        <f t="shared" ref="D1691:L1691" si="729">D1692</f>
        <v>7742</v>
      </c>
      <c r="E1691" s="230">
        <f t="shared" si="729"/>
        <v>0</v>
      </c>
      <c r="F1691" s="230">
        <f t="shared" si="729"/>
        <v>0</v>
      </c>
      <c r="G1691" s="230">
        <f t="shared" si="729"/>
        <v>0</v>
      </c>
      <c r="H1691" s="230">
        <f t="shared" si="729"/>
        <v>0</v>
      </c>
      <c r="I1691" s="230">
        <f t="shared" si="729"/>
        <v>7742</v>
      </c>
      <c r="J1691" s="230">
        <f t="shared" si="729"/>
        <v>7742</v>
      </c>
      <c r="K1691" s="230">
        <f t="shared" si="729"/>
        <v>0</v>
      </c>
      <c r="L1691" s="230">
        <f t="shared" si="729"/>
        <v>0</v>
      </c>
      <c r="M1691" s="228"/>
      <c r="N1691" s="176">
        <f t="shared" si="713"/>
        <v>7742</v>
      </c>
    </row>
    <row r="1692" ht="27" customHeight="1" spans="1:14">
      <c r="A1692" s="228">
        <v>2320301</v>
      </c>
      <c r="B1692" s="229" t="s">
        <v>1466</v>
      </c>
      <c r="C1692" s="228"/>
      <c r="D1692" s="234">
        <f>E1692+I1692</f>
        <v>7742</v>
      </c>
      <c r="E1692" s="235">
        <f>SUM(F1692:H1692)</f>
        <v>0</v>
      </c>
      <c r="F1692" s="228"/>
      <c r="G1692" s="228"/>
      <c r="H1692" s="228"/>
      <c r="I1692" s="235">
        <f>SUM(J1692:L1692)</f>
        <v>7742</v>
      </c>
      <c r="J1692" s="236">
        <v>7742</v>
      </c>
      <c r="K1692" s="228"/>
      <c r="L1692" s="228"/>
      <c r="M1692" s="228"/>
      <c r="N1692" s="176">
        <f t="shared" si="713"/>
        <v>7742</v>
      </c>
    </row>
    <row r="1693" ht="12.75" customHeight="1" spans="1:13">
      <c r="A1693" s="182"/>
      <c r="B1693" s="179"/>
      <c r="C1693" s="180"/>
      <c r="D1693" s="180"/>
      <c r="E1693" s="180"/>
      <c r="F1693" s="180"/>
      <c r="G1693" s="180"/>
      <c r="H1693" s="180"/>
      <c r="I1693" s="180"/>
      <c r="J1693" s="206"/>
      <c r="K1693" s="180"/>
      <c r="L1693" s="180"/>
      <c r="M1693" s="182"/>
    </row>
    <row r="1694" ht="12.75" customHeight="1" spans="1:13">
      <c r="A1694" s="182"/>
      <c r="B1694" s="179"/>
      <c r="C1694" s="180"/>
      <c r="D1694" s="180"/>
      <c r="E1694" s="180"/>
      <c r="F1694" s="180"/>
      <c r="G1694" s="180"/>
      <c r="H1694" s="180"/>
      <c r="I1694" s="180"/>
      <c r="J1694" s="206"/>
      <c r="K1694" s="180"/>
      <c r="L1694" s="180"/>
      <c r="M1694" s="182"/>
    </row>
    <row r="1695" ht="12.75" customHeight="1" spans="1:13">
      <c r="A1695" s="182"/>
      <c r="B1695" s="179"/>
      <c r="C1695" s="180"/>
      <c r="D1695" s="180"/>
      <c r="E1695" s="180"/>
      <c r="F1695" s="180"/>
      <c r="G1695" s="180"/>
      <c r="H1695" s="180"/>
      <c r="I1695" s="180"/>
      <c r="J1695" s="206"/>
      <c r="K1695" s="180"/>
      <c r="L1695" s="180"/>
      <c r="M1695" s="182"/>
    </row>
    <row r="1696" ht="12.75" customHeight="1" spans="1:13">
      <c r="A1696" s="182"/>
      <c r="B1696" s="179"/>
      <c r="C1696" s="180"/>
      <c r="D1696" s="180"/>
      <c r="E1696" s="180"/>
      <c r="F1696" s="180"/>
      <c r="G1696" s="180"/>
      <c r="H1696" s="180"/>
      <c r="I1696" s="180"/>
      <c r="J1696" s="206"/>
      <c r="K1696" s="180"/>
      <c r="L1696" s="180"/>
      <c r="M1696" s="182"/>
    </row>
  </sheetData>
  <autoFilter ref="A7:XEP1692">
    <extLst/>
  </autoFilter>
  <mergeCells count="8">
    <mergeCell ref="A2:M2"/>
    <mergeCell ref="E4:H4"/>
    <mergeCell ref="I4:L4"/>
    <mergeCell ref="A4:A5"/>
    <mergeCell ref="B4:B5"/>
    <mergeCell ref="C4:C5"/>
    <mergeCell ref="D4:D5"/>
    <mergeCell ref="M4:M5"/>
  </mergeCells>
  <pageMargins left="0.511805555555556" right="0.161111111111111" top="0.409027777777778" bottom="0.511805555555556" header="0.5" footer="0.236111111111111"/>
  <pageSetup paperSize="9" scale="75" firstPageNumber="34" orientation="landscape" useFirstPageNumber="1" horizontalDpi="600"/>
  <headerFooter>
    <oddFooter>&amp;C- &amp;P -</oddFooter>
  </headerFooter>
  <colBreaks count="1" manualBreakCount="1">
    <brk id="17" max="169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50"/>
  <sheetViews>
    <sheetView showZeros="0" workbookViewId="0">
      <pane xSplit="1" ySplit="6" topLeftCell="B31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4.4"/>
  <cols>
    <col min="1" max="1" width="30.3981481481481" style="90" customWidth="1"/>
    <col min="2" max="2" width="10.1296296296296" style="91" customWidth="1"/>
    <col min="3" max="3" width="9.73148148148148" style="90" customWidth="1"/>
    <col min="4" max="4" width="12.2685185185185" style="90" customWidth="1"/>
    <col min="5" max="5" width="11.3981481481481" style="90" customWidth="1"/>
    <col min="6" max="6" width="9.60185185185185" style="90" customWidth="1"/>
    <col min="7" max="7" width="9.77777777777778" style="90" customWidth="1"/>
    <col min="8" max="8" width="9.88888888888889" style="90" customWidth="1"/>
    <col min="9" max="9" width="9.46296296296296" style="90"/>
    <col min="10" max="10" width="9.39814814814815" style="90" customWidth="1"/>
    <col min="11" max="11" width="10.6666666666667" style="90"/>
    <col min="12" max="12" width="9.66666666666667" style="91" customWidth="1"/>
    <col min="13" max="16384" width="9" style="90"/>
  </cols>
  <sheetData>
    <row r="1" ht="18.95" customHeight="1" spans="1:1">
      <c r="A1" s="5" t="s">
        <v>1467</v>
      </c>
    </row>
    <row r="2" s="143" customFormat="1" ht="30.95" customHeight="1" spans="1:12">
      <c r="A2" s="94" t="s">
        <v>1468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="85" customFormat="1" ht="21.95" customHeight="1" spans="1:12">
      <c r="A3" s="87"/>
      <c r="B3" s="96"/>
      <c r="C3" s="96"/>
      <c r="D3" s="96"/>
      <c r="E3" s="97"/>
      <c r="F3" s="97"/>
      <c r="G3" s="96"/>
      <c r="H3" s="96"/>
      <c r="I3" s="97"/>
      <c r="J3" s="96"/>
      <c r="K3" s="25" t="s">
        <v>2</v>
      </c>
      <c r="L3" s="165"/>
    </row>
    <row r="4" s="86" customFormat="1" ht="21" customHeight="1" spans="1:12">
      <c r="A4" s="144" t="s">
        <v>3</v>
      </c>
      <c r="B4" s="144" t="s">
        <v>4</v>
      </c>
      <c r="C4" s="144"/>
      <c r="D4" s="144"/>
      <c r="E4" s="144"/>
      <c r="F4" s="144"/>
      <c r="G4" s="144"/>
      <c r="H4" s="144"/>
      <c r="I4" s="144"/>
      <c r="J4" s="144" t="s">
        <v>5</v>
      </c>
      <c r="K4" s="144"/>
      <c r="L4" s="166"/>
    </row>
    <row r="5" s="86" customFormat="1" ht="21.95" customHeight="1" spans="1:12">
      <c r="A5" s="144"/>
      <c r="B5" s="145" t="s">
        <v>1469</v>
      </c>
      <c r="C5" s="146" t="s">
        <v>1470</v>
      </c>
      <c r="D5" s="145" t="s">
        <v>1471</v>
      </c>
      <c r="E5" s="147" t="s">
        <v>1472</v>
      </c>
      <c r="F5" s="148" t="s">
        <v>1473</v>
      </c>
      <c r="G5" s="145" t="s">
        <v>1474</v>
      </c>
      <c r="H5" s="149" t="s">
        <v>11</v>
      </c>
      <c r="I5" s="149"/>
      <c r="J5" s="145" t="s">
        <v>12</v>
      </c>
      <c r="K5" s="149" t="s">
        <v>1475</v>
      </c>
      <c r="L5" s="167"/>
    </row>
    <row r="6" s="87" customFormat="1" ht="30.95" customHeight="1" spans="1:12">
      <c r="A6" s="144"/>
      <c r="B6" s="145"/>
      <c r="C6" s="146"/>
      <c r="D6" s="145"/>
      <c r="E6" s="147"/>
      <c r="F6" s="148"/>
      <c r="G6" s="145"/>
      <c r="H6" s="150" t="s">
        <v>14</v>
      </c>
      <c r="I6" s="148" t="s">
        <v>1476</v>
      </c>
      <c r="J6" s="145"/>
      <c r="K6" s="150" t="s">
        <v>14</v>
      </c>
      <c r="L6" s="168" t="s">
        <v>1476</v>
      </c>
    </row>
    <row r="7" s="88" customFormat="1" ht="24" customHeight="1" spans="1:12">
      <c r="A7" s="151" t="s">
        <v>1477</v>
      </c>
      <c r="B7" s="22"/>
      <c r="C7" s="22"/>
      <c r="D7" s="22"/>
      <c r="E7" s="152"/>
      <c r="F7" s="152"/>
      <c r="G7" s="22"/>
      <c r="H7" s="22"/>
      <c r="I7" s="152"/>
      <c r="J7" s="21"/>
      <c r="K7" s="155"/>
      <c r="L7" s="169"/>
    </row>
    <row r="8" s="88" customFormat="1" ht="24" customHeight="1" spans="1:12">
      <c r="A8" s="151" t="s">
        <v>1478</v>
      </c>
      <c r="B8" s="22"/>
      <c r="C8" s="22"/>
      <c r="D8" s="22"/>
      <c r="E8" s="152"/>
      <c r="F8" s="152"/>
      <c r="G8" s="22"/>
      <c r="H8" s="22"/>
      <c r="I8" s="152"/>
      <c r="J8" s="21"/>
      <c r="K8" s="155"/>
      <c r="L8" s="169"/>
    </row>
    <row r="9" s="88" customFormat="1" ht="24" customHeight="1" spans="1:12">
      <c r="A9" s="151" t="s">
        <v>1479</v>
      </c>
      <c r="B9" s="22"/>
      <c r="C9" s="22"/>
      <c r="D9" s="22"/>
      <c r="E9" s="152"/>
      <c r="F9" s="152"/>
      <c r="G9" s="22"/>
      <c r="H9" s="22"/>
      <c r="I9" s="152"/>
      <c r="J9" s="21"/>
      <c r="K9" s="155"/>
      <c r="L9" s="169"/>
    </row>
    <row r="10" s="88" customFormat="1" ht="24" customHeight="1" spans="1:12">
      <c r="A10" s="151" t="s">
        <v>1480</v>
      </c>
      <c r="B10" s="22"/>
      <c r="C10" s="22"/>
      <c r="D10" s="22"/>
      <c r="E10" s="152"/>
      <c r="F10" s="152"/>
      <c r="G10" s="22"/>
      <c r="H10" s="22"/>
      <c r="I10" s="152"/>
      <c r="J10" s="21"/>
      <c r="K10" s="155"/>
      <c r="L10" s="169"/>
    </row>
    <row r="11" s="88" customFormat="1" ht="24" customHeight="1" spans="1:12">
      <c r="A11" s="151" t="s">
        <v>1481</v>
      </c>
      <c r="B11" s="153">
        <v>20000</v>
      </c>
      <c r="C11" s="154">
        <v>33700</v>
      </c>
      <c r="D11" s="155">
        <v>31415</v>
      </c>
      <c r="E11" s="152">
        <f>D11/B11</f>
        <v>1.57075</v>
      </c>
      <c r="F11" s="152">
        <f>D11/C11</f>
        <v>0.932195845697329</v>
      </c>
      <c r="G11" s="155">
        <v>43561</v>
      </c>
      <c r="H11" s="22">
        <f>D11-G11</f>
        <v>-12146</v>
      </c>
      <c r="I11" s="152">
        <f>H11/G11</f>
        <v>-0.278827391474025</v>
      </c>
      <c r="J11" s="155">
        <v>25000</v>
      </c>
      <c r="K11" s="155">
        <f>J11-D11</f>
        <v>-6415</v>
      </c>
      <c r="L11" s="170">
        <f>K11/D11</f>
        <v>-0.204201814419863</v>
      </c>
    </row>
    <row r="12" s="88" customFormat="1" ht="24" customHeight="1" spans="1:12">
      <c r="A12" s="151" t="s">
        <v>1482</v>
      </c>
      <c r="B12" s="153"/>
      <c r="C12" s="154"/>
      <c r="D12" s="155"/>
      <c r="E12" s="152"/>
      <c r="F12" s="152"/>
      <c r="G12" s="21">
        <v>0</v>
      </c>
      <c r="H12" s="22"/>
      <c r="I12" s="152"/>
      <c r="J12" s="155"/>
      <c r="K12" s="155">
        <f t="shared" ref="K12:K33" si="0">J12-D12</f>
        <v>0</v>
      </c>
      <c r="L12" s="170"/>
    </row>
    <row r="13" s="88" customFormat="1" ht="24" customHeight="1" spans="1:12">
      <c r="A13" s="151" t="s">
        <v>1483</v>
      </c>
      <c r="B13" s="153"/>
      <c r="C13" s="154"/>
      <c r="D13" s="155"/>
      <c r="E13" s="152"/>
      <c r="F13" s="152"/>
      <c r="G13" s="21">
        <v>0</v>
      </c>
      <c r="H13" s="22"/>
      <c r="I13" s="152"/>
      <c r="J13" s="155"/>
      <c r="K13" s="155">
        <f t="shared" si="0"/>
        <v>0</v>
      </c>
      <c r="L13" s="170"/>
    </row>
    <row r="14" s="88" customFormat="1" ht="24" customHeight="1" spans="1:12">
      <c r="A14" s="151" t="s">
        <v>1484</v>
      </c>
      <c r="B14" s="153"/>
      <c r="C14" s="154"/>
      <c r="D14" s="155"/>
      <c r="E14" s="152"/>
      <c r="F14" s="152"/>
      <c r="G14" s="155">
        <v>0</v>
      </c>
      <c r="H14" s="22"/>
      <c r="I14" s="152"/>
      <c r="J14" s="155"/>
      <c r="K14" s="155">
        <f t="shared" si="0"/>
        <v>0</v>
      </c>
      <c r="L14" s="170"/>
    </row>
    <row r="15" s="88" customFormat="1" ht="24" customHeight="1" spans="1:12">
      <c r="A15" s="151" t="s">
        <v>1485</v>
      </c>
      <c r="B15" s="153">
        <v>488</v>
      </c>
      <c r="C15" s="154">
        <v>1050</v>
      </c>
      <c r="D15" s="155">
        <v>1684</v>
      </c>
      <c r="E15" s="152">
        <f>D15/B15</f>
        <v>3.45081967213115</v>
      </c>
      <c r="F15" s="152">
        <f>D15/C15</f>
        <v>1.60380952380952</v>
      </c>
      <c r="G15" s="21">
        <v>489</v>
      </c>
      <c r="H15" s="22">
        <f>D15-G15</f>
        <v>1195</v>
      </c>
      <c r="I15" s="152">
        <f t="shared" ref="I15:I19" si="1">H15/G15</f>
        <v>2.44376278118609</v>
      </c>
      <c r="J15" s="155">
        <v>300</v>
      </c>
      <c r="K15" s="155">
        <f t="shared" si="0"/>
        <v>-1384</v>
      </c>
      <c r="L15" s="170">
        <f>K15/D15</f>
        <v>-0.821852731591449</v>
      </c>
    </row>
    <row r="16" s="88" customFormat="1" ht="24" customHeight="1" spans="1:12">
      <c r="A16" s="151" t="s">
        <v>1486</v>
      </c>
      <c r="B16" s="153"/>
      <c r="C16" s="154"/>
      <c r="D16" s="155"/>
      <c r="E16" s="152"/>
      <c r="F16" s="152"/>
      <c r="G16" s="21">
        <v>0</v>
      </c>
      <c r="H16" s="22"/>
      <c r="I16" s="152"/>
      <c r="J16" s="155"/>
      <c r="K16" s="155">
        <f t="shared" si="0"/>
        <v>0</v>
      </c>
      <c r="L16" s="170"/>
    </row>
    <row r="17" s="88" customFormat="1" ht="24" customHeight="1" spans="1:12">
      <c r="A17" s="151" t="s">
        <v>1487</v>
      </c>
      <c r="B17" s="153"/>
      <c r="C17" s="154"/>
      <c r="D17" s="155"/>
      <c r="E17" s="152"/>
      <c r="F17" s="152"/>
      <c r="G17" s="21"/>
      <c r="H17" s="22">
        <f t="shared" ref="H15:H19" si="2">D17-G17</f>
        <v>0</v>
      </c>
      <c r="I17" s="152"/>
      <c r="J17" s="155"/>
      <c r="K17" s="155">
        <f t="shared" si="0"/>
        <v>0</v>
      </c>
      <c r="L17" s="170"/>
    </row>
    <row r="18" s="88" customFormat="1" ht="24" customHeight="1" spans="1:12">
      <c r="A18" s="151" t="s">
        <v>1488</v>
      </c>
      <c r="B18" s="153"/>
      <c r="C18" s="156"/>
      <c r="D18" s="155"/>
      <c r="E18" s="152"/>
      <c r="F18" s="152"/>
      <c r="G18" s="21"/>
      <c r="H18" s="22">
        <f t="shared" si="2"/>
        <v>0</v>
      </c>
      <c r="I18" s="152"/>
      <c r="J18" s="155"/>
      <c r="K18" s="155">
        <f t="shared" si="0"/>
        <v>0</v>
      </c>
      <c r="L18" s="170"/>
    </row>
    <row r="19" s="88" customFormat="1" ht="24" customHeight="1" spans="1:12">
      <c r="A19" s="157" t="s">
        <v>1489</v>
      </c>
      <c r="B19" s="153">
        <v>580</v>
      </c>
      <c r="C19" s="156">
        <v>550</v>
      </c>
      <c r="D19" s="155">
        <v>623</v>
      </c>
      <c r="E19" s="152">
        <f>D19/B19</f>
        <v>1.07413793103448</v>
      </c>
      <c r="F19" s="152">
        <f>D19/C19</f>
        <v>1.13272727272727</v>
      </c>
      <c r="G19" s="21">
        <v>581</v>
      </c>
      <c r="H19" s="22">
        <f t="shared" si="2"/>
        <v>42</v>
      </c>
      <c r="I19" s="152">
        <f t="shared" si="1"/>
        <v>0.072289156626506</v>
      </c>
      <c r="J19" s="155">
        <v>550</v>
      </c>
      <c r="K19" s="155">
        <f t="shared" si="0"/>
        <v>-73</v>
      </c>
      <c r="L19" s="170">
        <f>K19/D19</f>
        <v>-0.117174959871589</v>
      </c>
    </row>
    <row r="20" s="88" customFormat="1" ht="24" customHeight="1" spans="1:12">
      <c r="A20" s="151" t="s">
        <v>1490</v>
      </c>
      <c r="B20" s="158"/>
      <c r="C20" s="156"/>
      <c r="D20" s="21"/>
      <c r="E20" s="152"/>
      <c r="F20" s="152"/>
      <c r="G20" s="21">
        <v>0</v>
      </c>
      <c r="H20" s="22"/>
      <c r="I20" s="152"/>
      <c r="J20" s="21"/>
      <c r="K20" s="155">
        <f t="shared" si="0"/>
        <v>0</v>
      </c>
      <c r="L20" s="170"/>
    </row>
    <row r="21" s="88" customFormat="1" ht="24" customHeight="1" spans="1:12">
      <c r="A21" s="151" t="s">
        <v>1491</v>
      </c>
      <c r="B21" s="158">
        <v>80</v>
      </c>
      <c r="C21" s="156">
        <v>80</v>
      </c>
      <c r="D21" s="21"/>
      <c r="E21" s="152"/>
      <c r="F21" s="152"/>
      <c r="G21" s="21">
        <v>75</v>
      </c>
      <c r="H21" s="22">
        <f t="shared" ref="H21:H26" si="3">D21-G21</f>
        <v>-75</v>
      </c>
      <c r="I21" s="152">
        <f t="shared" ref="I21:I26" si="4">H21/G21</f>
        <v>-1</v>
      </c>
      <c r="J21" s="21">
        <v>80</v>
      </c>
      <c r="K21" s="155">
        <f t="shared" si="0"/>
        <v>80</v>
      </c>
      <c r="L21" s="170"/>
    </row>
    <row r="22" s="88" customFormat="1" ht="24" customHeight="1" spans="1:12">
      <c r="A22" s="151" t="s">
        <v>1492</v>
      </c>
      <c r="B22" s="21"/>
      <c r="C22" s="21"/>
      <c r="D22" s="21">
        <v>657</v>
      </c>
      <c r="E22" s="152"/>
      <c r="F22" s="152"/>
      <c r="G22" s="21">
        <v>266</v>
      </c>
      <c r="H22" s="22"/>
      <c r="I22" s="152"/>
      <c r="J22" s="21"/>
      <c r="K22" s="155">
        <f t="shared" si="0"/>
        <v>-657</v>
      </c>
      <c r="L22" s="170">
        <f>K22/D22</f>
        <v>-1</v>
      </c>
    </row>
    <row r="23" s="89" customFormat="1" ht="24" customHeight="1" spans="1:12">
      <c r="A23" s="159" t="s">
        <v>1493</v>
      </c>
      <c r="B23" s="160">
        <f>SUM(B7:B21)</f>
        <v>21148</v>
      </c>
      <c r="C23" s="160">
        <f>SUM(C7:C21)</f>
        <v>35380</v>
      </c>
      <c r="D23" s="160">
        <f>SUM(D7:D22)</f>
        <v>34379</v>
      </c>
      <c r="E23" s="152">
        <f>D23/B23</f>
        <v>1.62563835823719</v>
      </c>
      <c r="F23" s="152">
        <f>D23/C23</f>
        <v>0.971707179197287</v>
      </c>
      <c r="G23" s="160">
        <f>SUM(G7:G22)</f>
        <v>44972</v>
      </c>
      <c r="H23" s="22">
        <f t="shared" si="3"/>
        <v>-10593</v>
      </c>
      <c r="I23" s="171">
        <f t="shared" si="4"/>
        <v>-0.235546562305434</v>
      </c>
      <c r="J23" s="160">
        <f>SUM(J7:J21)</f>
        <v>25930</v>
      </c>
      <c r="K23" s="155">
        <f t="shared" si="0"/>
        <v>-8449</v>
      </c>
      <c r="L23" s="170">
        <f>K23/D23</f>
        <v>-0.245760493324413</v>
      </c>
    </row>
    <row r="24" s="89" customFormat="1" ht="24" customHeight="1" spans="1:12">
      <c r="A24" s="161" t="s">
        <v>1494</v>
      </c>
      <c r="B24" s="160">
        <f>SUM(B25,B28:B30)</f>
        <v>13574</v>
      </c>
      <c r="C24" s="160">
        <f>SUM(C25,C28:C30)</f>
        <v>14085</v>
      </c>
      <c r="D24" s="160">
        <f>SUM(D25,D28:D30)</f>
        <v>41523</v>
      </c>
      <c r="E24" s="152">
        <f>D24/B24</f>
        <v>3.05900987181376</v>
      </c>
      <c r="F24" s="152">
        <f>D24/C24</f>
        <v>2.94802981895634</v>
      </c>
      <c r="G24" s="160">
        <f>SUM(G25,G28:G30)</f>
        <v>26260</v>
      </c>
      <c r="H24" s="162">
        <f t="shared" si="3"/>
        <v>15263</v>
      </c>
      <c r="I24" s="171">
        <f t="shared" si="4"/>
        <v>0.581226199543031</v>
      </c>
      <c r="J24" s="160">
        <f>SUM(J25,J28:J30)</f>
        <v>12547</v>
      </c>
      <c r="K24" s="155">
        <f t="shared" si="0"/>
        <v>-28976</v>
      </c>
      <c r="L24" s="170">
        <f>K24/D24</f>
        <v>-0.697830118247718</v>
      </c>
    </row>
    <row r="25" s="88" customFormat="1" ht="24" customHeight="1" spans="1:12">
      <c r="A25" s="157" t="s">
        <v>1495</v>
      </c>
      <c r="B25" s="21">
        <f>B26+B27</f>
        <v>572</v>
      </c>
      <c r="C25" s="21">
        <f>C26+C27</f>
        <v>794</v>
      </c>
      <c r="D25" s="21">
        <f>D26+D27</f>
        <v>932</v>
      </c>
      <c r="E25" s="152">
        <f>D25/B25</f>
        <v>1.62937062937063</v>
      </c>
      <c r="F25" s="152">
        <f>D25/C25</f>
        <v>1.17380352644836</v>
      </c>
      <c r="G25" s="21">
        <f>G26+G27</f>
        <v>12123</v>
      </c>
      <c r="H25" s="22">
        <f t="shared" si="3"/>
        <v>-11191</v>
      </c>
      <c r="I25" s="152">
        <f t="shared" si="4"/>
        <v>-0.923121339602409</v>
      </c>
      <c r="J25" s="21">
        <f>SUM(J26:J27)</f>
        <v>215</v>
      </c>
      <c r="K25" s="155">
        <f t="shared" si="0"/>
        <v>-717</v>
      </c>
      <c r="L25" s="170">
        <f>K25/D25</f>
        <v>-0.76931330472103</v>
      </c>
    </row>
    <row r="26" s="88" customFormat="1" ht="24" customHeight="1" spans="1:12">
      <c r="A26" s="157" t="s">
        <v>1496</v>
      </c>
      <c r="B26" s="163">
        <v>572</v>
      </c>
      <c r="C26" s="156">
        <v>794</v>
      </c>
      <c r="D26" s="21">
        <f>912+20</f>
        <v>932</v>
      </c>
      <c r="E26" s="152">
        <f>D26/B26</f>
        <v>1.62937062937063</v>
      </c>
      <c r="F26" s="152">
        <f>D26/C26</f>
        <v>1.17380352644836</v>
      </c>
      <c r="G26" s="21">
        <v>12123</v>
      </c>
      <c r="H26" s="22">
        <f t="shared" si="3"/>
        <v>-11191</v>
      </c>
      <c r="I26" s="152">
        <f t="shared" si="4"/>
        <v>-0.923121339602409</v>
      </c>
      <c r="J26" s="172">
        <v>215</v>
      </c>
      <c r="K26" s="155">
        <f t="shared" si="0"/>
        <v>-717</v>
      </c>
      <c r="L26" s="170">
        <f>K26/D26</f>
        <v>-0.76931330472103</v>
      </c>
    </row>
    <row r="27" s="88" customFormat="1" ht="24" customHeight="1" spans="1:12">
      <c r="A27" s="157" t="s">
        <v>1497</v>
      </c>
      <c r="B27" s="158"/>
      <c r="C27" s="156"/>
      <c r="D27" s="21"/>
      <c r="E27" s="152"/>
      <c r="F27" s="152"/>
      <c r="G27" s="21"/>
      <c r="H27" s="22"/>
      <c r="I27" s="152"/>
      <c r="J27" s="21"/>
      <c r="K27" s="155">
        <f t="shared" si="0"/>
        <v>0</v>
      </c>
      <c r="L27" s="170"/>
    </row>
    <row r="28" s="88" customFormat="1" ht="24" customHeight="1" spans="1:12">
      <c r="A28" s="157" t="s">
        <v>1498</v>
      </c>
      <c r="B28" s="158">
        <v>13002</v>
      </c>
      <c r="C28" s="156">
        <v>13291</v>
      </c>
      <c r="D28" s="21">
        <v>13291</v>
      </c>
      <c r="E28" s="152">
        <f>D28/B28</f>
        <v>1.02222734963852</v>
      </c>
      <c r="F28" s="152">
        <f>D28/C28</f>
        <v>1</v>
      </c>
      <c r="G28" s="21">
        <v>837</v>
      </c>
      <c r="H28" s="22">
        <f t="shared" ref="H28:H33" si="5">D28-G28</f>
        <v>12454</v>
      </c>
      <c r="I28" s="152">
        <f t="shared" ref="I28:I33" si="6">H28/G28</f>
        <v>14.8793309438471</v>
      </c>
      <c r="J28" s="21">
        <v>12332</v>
      </c>
      <c r="K28" s="155">
        <f t="shared" si="0"/>
        <v>-959</v>
      </c>
      <c r="L28" s="170">
        <f>K28/D28</f>
        <v>-0.0721540892333158</v>
      </c>
    </row>
    <row r="29" s="88" customFormat="1" ht="24" customHeight="1" spans="1:12">
      <c r="A29" s="157" t="s">
        <v>1499</v>
      </c>
      <c r="B29" s="21"/>
      <c r="C29" s="21"/>
      <c r="D29" s="21"/>
      <c r="E29" s="152"/>
      <c r="F29" s="152"/>
      <c r="G29" s="21"/>
      <c r="H29" s="22"/>
      <c r="I29" s="152"/>
      <c r="J29" s="21"/>
      <c r="K29" s="155">
        <f t="shared" si="0"/>
        <v>0</v>
      </c>
      <c r="L29" s="170"/>
    </row>
    <row r="30" s="88" customFormat="1" ht="24" customHeight="1" spans="1:12">
      <c r="A30" s="157" t="s">
        <v>1500</v>
      </c>
      <c r="B30" s="21"/>
      <c r="C30" s="21"/>
      <c r="D30" s="21">
        <v>27300</v>
      </c>
      <c r="E30" s="152"/>
      <c r="F30" s="152"/>
      <c r="G30" s="21">
        <v>13300</v>
      </c>
      <c r="H30" s="22">
        <f t="shared" si="5"/>
        <v>14000</v>
      </c>
      <c r="I30" s="152">
        <f t="shared" si="6"/>
        <v>1.05263157894737</v>
      </c>
      <c r="J30" s="21"/>
      <c r="K30" s="155">
        <f t="shared" si="0"/>
        <v>-27300</v>
      </c>
      <c r="L30" s="170">
        <f>K30/D30</f>
        <v>-1</v>
      </c>
    </row>
    <row r="31" s="88" customFormat="1" ht="24" customHeight="1" spans="1:12">
      <c r="A31" s="157" t="s">
        <v>1501</v>
      </c>
      <c r="B31" s="21"/>
      <c r="C31" s="21"/>
      <c r="D31" s="21"/>
      <c r="E31" s="152"/>
      <c r="F31" s="152"/>
      <c r="G31" s="21"/>
      <c r="H31" s="22"/>
      <c r="I31" s="152"/>
      <c r="J31" s="21"/>
      <c r="K31" s="155">
        <f t="shared" si="0"/>
        <v>0</v>
      </c>
      <c r="L31" s="170"/>
    </row>
    <row r="32" s="88" customFormat="1" ht="24" customHeight="1" spans="1:12">
      <c r="A32" s="157" t="s">
        <v>1502</v>
      </c>
      <c r="B32" s="21"/>
      <c r="C32" s="21"/>
      <c r="D32" s="21"/>
      <c r="E32" s="152"/>
      <c r="F32" s="152"/>
      <c r="G32" s="21"/>
      <c r="H32" s="22"/>
      <c r="I32" s="152"/>
      <c r="J32" s="21"/>
      <c r="K32" s="155">
        <f t="shared" si="0"/>
        <v>0</v>
      </c>
      <c r="L32" s="170"/>
    </row>
    <row r="33" s="89" customFormat="1" ht="24" customHeight="1" spans="1:12">
      <c r="A33" s="164" t="s">
        <v>111</v>
      </c>
      <c r="B33" s="160">
        <f t="shared" ref="B33:G33" si="7">SUM(B23:B24)</f>
        <v>34722</v>
      </c>
      <c r="C33" s="160">
        <f t="shared" si="7"/>
        <v>49465</v>
      </c>
      <c r="D33" s="160">
        <f t="shared" si="7"/>
        <v>75902</v>
      </c>
      <c r="E33" s="152">
        <f>D33/B33</f>
        <v>2.18599159034618</v>
      </c>
      <c r="F33" s="152">
        <f>D33/C33</f>
        <v>1.5344587081775</v>
      </c>
      <c r="G33" s="160">
        <f t="shared" si="7"/>
        <v>71232</v>
      </c>
      <c r="H33" s="162">
        <f t="shared" si="5"/>
        <v>4670</v>
      </c>
      <c r="I33" s="171">
        <f t="shared" si="6"/>
        <v>0.0655604222821204</v>
      </c>
      <c r="J33" s="160">
        <f>SUM(J23:J24)</f>
        <v>38477</v>
      </c>
      <c r="K33" s="155">
        <f t="shared" si="0"/>
        <v>-37425</v>
      </c>
      <c r="L33" s="170">
        <f>K33/D33</f>
        <v>-0.4930700113304</v>
      </c>
    </row>
    <row r="34" s="85" customFormat="1" ht="15.6" spans="1:12">
      <c r="A34" s="87"/>
      <c r="B34" s="96"/>
      <c r="C34" s="96"/>
      <c r="D34" s="96"/>
      <c r="E34" s="97"/>
      <c r="F34" s="97"/>
      <c r="G34" s="96"/>
      <c r="H34" s="96"/>
      <c r="I34" s="97"/>
      <c r="J34" s="96"/>
      <c r="K34" s="96"/>
      <c r="L34" s="165"/>
    </row>
    <row r="35" s="36" customFormat="1" ht="15.6" spans="12:12">
      <c r="L35" s="173"/>
    </row>
    <row r="36" s="36" customFormat="1" ht="15.6" spans="12:12">
      <c r="L36" s="173"/>
    </row>
    <row r="37" s="36" customFormat="1" ht="15.6" spans="12:12">
      <c r="L37" s="173"/>
    </row>
    <row r="38" s="36" customFormat="1" ht="15.6" spans="12:12">
      <c r="L38" s="173"/>
    </row>
    <row r="39" s="36" customFormat="1" ht="15.6" spans="12:12">
      <c r="L39" s="173"/>
    </row>
    <row r="40" s="36" customFormat="1" ht="15.6" spans="12:12">
      <c r="L40" s="173"/>
    </row>
    <row r="41" s="36" customFormat="1" ht="15.6" spans="12:12">
      <c r="L41" s="173"/>
    </row>
    <row r="42" s="36" customFormat="1" ht="15.6" spans="12:12">
      <c r="L42" s="173"/>
    </row>
    <row r="43" s="36" customFormat="1" ht="15.6" spans="12:12">
      <c r="L43" s="173"/>
    </row>
    <row r="44" s="36" customFormat="1" ht="15.6" spans="12:12">
      <c r="L44" s="173"/>
    </row>
    <row r="45" s="36" customFormat="1" ht="15.6" spans="12:12">
      <c r="L45" s="173"/>
    </row>
    <row r="46" s="36" customFormat="1" ht="15.6" spans="12:12">
      <c r="L46" s="173"/>
    </row>
    <row r="47" s="36" customFormat="1" ht="15.6" spans="12:12">
      <c r="L47" s="173"/>
    </row>
    <row r="48" s="36" customFormat="1" ht="15.6" spans="12:12">
      <c r="L48" s="173"/>
    </row>
    <row r="49" s="36" customFormat="1" ht="15.6" spans="12:12">
      <c r="L49" s="173"/>
    </row>
    <row r="50" s="36" customFormat="1" ht="15.6" spans="12:12">
      <c r="L50" s="173"/>
    </row>
    <row r="51" s="36" customFormat="1" ht="15.6" spans="12:12">
      <c r="L51" s="173"/>
    </row>
    <row r="52" s="36" customFormat="1" ht="15.6" spans="12:12">
      <c r="L52" s="173"/>
    </row>
    <row r="53" s="36" customFormat="1" ht="15.6" spans="12:12">
      <c r="L53" s="173"/>
    </row>
    <row r="54" s="36" customFormat="1" ht="15.6" spans="12:12">
      <c r="L54" s="173"/>
    </row>
    <row r="55" s="36" customFormat="1" ht="15.6" spans="12:12">
      <c r="L55" s="173"/>
    </row>
    <row r="56" s="36" customFormat="1" ht="15.6" spans="12:12">
      <c r="L56" s="173"/>
    </row>
    <row r="57" s="36" customFormat="1" ht="15.6" spans="12:12">
      <c r="L57" s="173"/>
    </row>
    <row r="58" s="36" customFormat="1" ht="15.6" spans="12:12">
      <c r="L58" s="173"/>
    </row>
    <row r="59" s="36" customFormat="1" ht="15.6" spans="12:12">
      <c r="L59" s="173"/>
    </row>
    <row r="60" s="36" customFormat="1" ht="15.6" spans="12:12">
      <c r="L60" s="173"/>
    </row>
    <row r="61" s="36" customFormat="1" ht="15.6" spans="12:12">
      <c r="L61" s="173"/>
    </row>
    <row r="62" s="36" customFormat="1" ht="15.6" spans="12:12">
      <c r="L62" s="173"/>
    </row>
    <row r="63" s="36" customFormat="1" ht="15.6" spans="12:12">
      <c r="L63" s="173"/>
    </row>
    <row r="64" s="36" customFormat="1" ht="15.6" spans="12:12">
      <c r="L64" s="173"/>
    </row>
    <row r="65" s="36" customFormat="1" ht="15.6" spans="12:12">
      <c r="L65" s="173"/>
    </row>
    <row r="66" s="36" customFormat="1" ht="15.6" spans="12:12">
      <c r="L66" s="173"/>
    </row>
    <row r="67" s="36" customFormat="1" ht="15.6" spans="12:12">
      <c r="L67" s="173"/>
    </row>
    <row r="68" s="36" customFormat="1" ht="15.6" spans="12:12">
      <c r="L68" s="173"/>
    </row>
    <row r="69" s="36" customFormat="1" ht="15.6" spans="12:12">
      <c r="L69" s="173"/>
    </row>
    <row r="70" s="36" customFormat="1" ht="15.6" spans="12:12">
      <c r="L70" s="173"/>
    </row>
    <row r="71" s="36" customFormat="1" ht="15.6" spans="12:12">
      <c r="L71" s="173"/>
    </row>
    <row r="72" s="36" customFormat="1" ht="15.6" spans="12:12">
      <c r="L72" s="173"/>
    </row>
    <row r="73" s="36" customFormat="1" ht="15.6" spans="12:12">
      <c r="L73" s="173"/>
    </row>
    <row r="74" s="36" customFormat="1" ht="15.6" spans="12:12">
      <c r="L74" s="173"/>
    </row>
    <row r="75" s="36" customFormat="1" ht="15.6" spans="12:12">
      <c r="L75" s="173"/>
    </row>
    <row r="76" s="36" customFormat="1" ht="15.6" spans="12:12">
      <c r="L76" s="173"/>
    </row>
    <row r="77" s="36" customFormat="1" ht="15.6" spans="12:12">
      <c r="L77" s="173"/>
    </row>
    <row r="78" s="36" customFormat="1" ht="15.6" spans="12:12">
      <c r="L78" s="173"/>
    </row>
    <row r="79" s="36" customFormat="1" ht="15.6" spans="12:12">
      <c r="L79" s="173"/>
    </row>
    <row r="80" s="36" customFormat="1" ht="15.6" spans="12:12">
      <c r="L80" s="173"/>
    </row>
    <row r="81" s="36" customFormat="1" ht="15.6" spans="12:12">
      <c r="L81" s="173"/>
    </row>
    <row r="82" s="36" customFormat="1" ht="15.6" spans="12:12">
      <c r="L82" s="173"/>
    </row>
    <row r="83" s="36" customFormat="1" ht="15.6" spans="12:12">
      <c r="L83" s="173"/>
    </row>
    <row r="84" s="36" customFormat="1" ht="15.6" spans="12:12">
      <c r="L84" s="173"/>
    </row>
    <row r="85" s="36" customFormat="1" ht="15.6" spans="12:12">
      <c r="L85" s="173"/>
    </row>
    <row r="86" s="36" customFormat="1" ht="15.6" spans="12:12">
      <c r="L86" s="173"/>
    </row>
    <row r="87" s="36" customFormat="1" ht="15.6" spans="12:12">
      <c r="L87" s="173"/>
    </row>
    <row r="88" s="36" customFormat="1" ht="15.6" spans="12:12">
      <c r="L88" s="173"/>
    </row>
    <row r="89" s="36" customFormat="1" ht="15.6" spans="12:12">
      <c r="L89" s="173"/>
    </row>
    <row r="90" s="36" customFormat="1" ht="15.6" spans="12:12">
      <c r="L90" s="173"/>
    </row>
    <row r="91" s="36" customFormat="1" ht="15.6" spans="12:12">
      <c r="L91" s="173"/>
    </row>
    <row r="92" s="36" customFormat="1" ht="15.6" spans="12:12">
      <c r="L92" s="173"/>
    </row>
    <row r="93" s="36" customFormat="1" ht="15.6" spans="12:12">
      <c r="L93" s="173"/>
    </row>
    <row r="94" s="36" customFormat="1" ht="15.6" spans="12:12">
      <c r="L94" s="173"/>
    </row>
    <row r="95" s="36" customFormat="1" ht="15.6" spans="12:12">
      <c r="L95" s="173"/>
    </row>
    <row r="96" s="36" customFormat="1" ht="15.6" spans="12:12">
      <c r="L96" s="173"/>
    </row>
    <row r="97" s="36" customFormat="1" ht="15.6" spans="12:12">
      <c r="L97" s="173"/>
    </row>
    <row r="98" s="36" customFormat="1" ht="15.6" spans="12:12">
      <c r="L98" s="173"/>
    </row>
    <row r="99" s="36" customFormat="1" ht="15.6" spans="12:12">
      <c r="L99" s="173"/>
    </row>
    <row r="100" s="36" customFormat="1" ht="15.6" spans="12:12">
      <c r="L100" s="173"/>
    </row>
    <row r="101" s="36" customFormat="1" ht="15.6" spans="12:12">
      <c r="L101" s="173"/>
    </row>
    <row r="102" s="36" customFormat="1" ht="15.6" spans="12:12">
      <c r="L102" s="173"/>
    </row>
    <row r="103" s="36" customFormat="1" ht="15.6" spans="12:12">
      <c r="L103" s="173"/>
    </row>
    <row r="104" s="36" customFormat="1" ht="15.6" spans="12:12">
      <c r="L104" s="173"/>
    </row>
    <row r="105" s="36" customFormat="1" ht="15.6" spans="12:12">
      <c r="L105" s="173"/>
    </row>
    <row r="106" s="36" customFormat="1" ht="15.6" spans="12:12">
      <c r="L106" s="173"/>
    </row>
    <row r="107" s="36" customFormat="1" ht="15.6" spans="12:12">
      <c r="L107" s="173"/>
    </row>
    <row r="108" s="36" customFormat="1" ht="15.6" spans="12:12">
      <c r="L108" s="173"/>
    </row>
    <row r="109" s="36" customFormat="1" ht="15.6" spans="12:12">
      <c r="L109" s="173"/>
    </row>
    <row r="110" s="36" customFormat="1" ht="15.6" spans="12:12">
      <c r="L110" s="173"/>
    </row>
    <row r="111" s="36" customFormat="1" ht="15.6" spans="12:12">
      <c r="L111" s="173"/>
    </row>
    <row r="112" s="36" customFormat="1" ht="15.6" spans="12:12">
      <c r="L112" s="173"/>
    </row>
    <row r="113" s="36" customFormat="1" ht="15.6" spans="12:12">
      <c r="L113" s="173"/>
    </row>
    <row r="114" s="36" customFormat="1" ht="15.6" spans="12:12">
      <c r="L114" s="173"/>
    </row>
    <row r="115" s="36" customFormat="1" ht="15.6" spans="12:12">
      <c r="L115" s="173"/>
    </row>
    <row r="116" s="36" customFormat="1" ht="15.6" spans="12:12">
      <c r="L116" s="173"/>
    </row>
    <row r="117" s="36" customFormat="1" ht="15.6" spans="12:12">
      <c r="L117" s="173"/>
    </row>
    <row r="118" s="36" customFormat="1" ht="15.6" spans="12:12">
      <c r="L118" s="173"/>
    </row>
    <row r="119" s="36" customFormat="1" ht="15.6" spans="12:12">
      <c r="L119" s="173"/>
    </row>
    <row r="120" s="36" customFormat="1" ht="15.6" spans="12:12">
      <c r="L120" s="173"/>
    </row>
    <row r="121" s="36" customFormat="1" ht="15.6" spans="12:12">
      <c r="L121" s="173"/>
    </row>
    <row r="122" s="36" customFormat="1" ht="15.6" spans="12:12">
      <c r="L122" s="173"/>
    </row>
    <row r="123" s="36" customFormat="1" ht="15.6" spans="12:12">
      <c r="L123" s="173"/>
    </row>
    <row r="124" s="36" customFormat="1" ht="15.6" spans="12:12">
      <c r="L124" s="173"/>
    </row>
    <row r="125" s="36" customFormat="1" ht="15.6" spans="12:12">
      <c r="L125" s="173"/>
    </row>
    <row r="126" s="36" customFormat="1" ht="15.6" spans="12:12">
      <c r="L126" s="173"/>
    </row>
    <row r="127" s="36" customFormat="1" ht="15.6" spans="12:12">
      <c r="L127" s="173"/>
    </row>
    <row r="128" s="36" customFormat="1" ht="15.6" spans="12:12">
      <c r="L128" s="173"/>
    </row>
    <row r="129" s="36" customFormat="1" ht="15.6" spans="12:12">
      <c r="L129" s="173"/>
    </row>
    <row r="130" s="36" customFormat="1" ht="15.6" spans="12:12">
      <c r="L130" s="173"/>
    </row>
    <row r="131" s="36" customFormat="1" ht="15.6" spans="12:12">
      <c r="L131" s="173"/>
    </row>
    <row r="132" s="36" customFormat="1" ht="15.6" spans="12:12">
      <c r="L132" s="173"/>
    </row>
    <row r="133" s="36" customFormat="1" ht="15.6" spans="12:12">
      <c r="L133" s="173"/>
    </row>
    <row r="134" s="36" customFormat="1" ht="15.6" spans="12:12">
      <c r="L134" s="173"/>
    </row>
    <row r="135" s="36" customFormat="1" ht="15.6" spans="12:12">
      <c r="L135" s="173"/>
    </row>
    <row r="136" s="36" customFormat="1" ht="15.6" spans="12:12">
      <c r="L136" s="173"/>
    </row>
    <row r="137" s="36" customFormat="1" ht="15.6" spans="12:12">
      <c r="L137" s="173"/>
    </row>
    <row r="138" s="36" customFormat="1" ht="15.6" spans="12:12">
      <c r="L138" s="173"/>
    </row>
    <row r="139" s="36" customFormat="1" ht="15.6" spans="12:12">
      <c r="L139" s="173"/>
    </row>
    <row r="140" s="36" customFormat="1" ht="15.6" spans="12:12">
      <c r="L140" s="173"/>
    </row>
    <row r="141" s="36" customFormat="1" ht="15.6" spans="12:12">
      <c r="L141" s="173"/>
    </row>
    <row r="142" s="36" customFormat="1" ht="15.6" spans="12:12">
      <c r="L142" s="173"/>
    </row>
    <row r="143" s="36" customFormat="1" ht="15.6" spans="12:12">
      <c r="L143" s="173"/>
    </row>
    <row r="144" s="36" customFormat="1" ht="15.6" spans="12:12">
      <c r="L144" s="173"/>
    </row>
    <row r="145" s="36" customFormat="1" ht="15.6" spans="12:12">
      <c r="L145" s="173"/>
    </row>
    <row r="146" s="36" customFormat="1" ht="15.6" spans="12:12">
      <c r="L146" s="173"/>
    </row>
    <row r="147" s="36" customFormat="1" ht="15.6" spans="12:12">
      <c r="L147" s="173"/>
    </row>
    <row r="148" s="36" customFormat="1" ht="15.6" spans="12:12">
      <c r="L148" s="173"/>
    </row>
    <row r="149" s="36" customFormat="1" ht="15.6" spans="12:12">
      <c r="L149" s="173"/>
    </row>
    <row r="150" s="36" customFormat="1" ht="15.6" spans="12:12">
      <c r="L150" s="173"/>
    </row>
    <row r="151" s="36" customFormat="1" ht="15.6" spans="12:12">
      <c r="L151" s="173"/>
    </row>
    <row r="152" s="36" customFormat="1" ht="15.6" spans="12:12">
      <c r="L152" s="173"/>
    </row>
    <row r="153" s="36" customFormat="1" ht="15.6" spans="12:12">
      <c r="L153" s="173"/>
    </row>
    <row r="154" s="36" customFormat="1" ht="15.6" spans="12:12">
      <c r="L154" s="173"/>
    </row>
    <row r="155" s="36" customFormat="1" ht="15.6" spans="12:12">
      <c r="L155" s="173"/>
    </row>
    <row r="156" s="36" customFormat="1" ht="15.6" spans="12:12">
      <c r="L156" s="173"/>
    </row>
    <row r="157" s="36" customFormat="1" ht="15.6" spans="12:12">
      <c r="L157" s="173"/>
    </row>
    <row r="158" s="36" customFormat="1" ht="15.6" spans="12:12">
      <c r="L158" s="173"/>
    </row>
    <row r="159" s="36" customFormat="1" ht="15.6" spans="12:12">
      <c r="L159" s="173"/>
    </row>
    <row r="160" s="36" customFormat="1" ht="15.6" spans="12:12">
      <c r="L160" s="173"/>
    </row>
    <row r="161" s="36" customFormat="1" ht="15.6" spans="12:12">
      <c r="L161" s="173"/>
    </row>
    <row r="162" s="36" customFormat="1" ht="15.6" spans="12:12">
      <c r="L162" s="173"/>
    </row>
    <row r="163" s="36" customFormat="1" ht="15.6" spans="12:12">
      <c r="L163" s="173"/>
    </row>
    <row r="164" s="36" customFormat="1" ht="15.6" spans="12:12">
      <c r="L164" s="173"/>
    </row>
    <row r="165" s="36" customFormat="1" ht="15.6" spans="12:12">
      <c r="L165" s="173"/>
    </row>
    <row r="166" s="36" customFormat="1" ht="15.6" spans="12:12">
      <c r="L166" s="173"/>
    </row>
    <row r="167" s="36" customFormat="1" ht="15.6" spans="12:12">
      <c r="L167" s="173"/>
    </row>
    <row r="168" s="36" customFormat="1" ht="15.6" spans="12:12">
      <c r="L168" s="173"/>
    </row>
    <row r="169" s="36" customFormat="1" ht="15.6" spans="12:12">
      <c r="L169" s="173"/>
    </row>
    <row r="170" s="36" customFormat="1" ht="15.6" spans="12:12">
      <c r="L170" s="173"/>
    </row>
    <row r="171" s="36" customFormat="1" ht="15.6" spans="12:12">
      <c r="L171" s="173"/>
    </row>
    <row r="172" s="36" customFormat="1" ht="15.6" spans="12:12">
      <c r="L172" s="173"/>
    </row>
    <row r="173" s="36" customFormat="1" ht="15.6" spans="12:12">
      <c r="L173" s="173"/>
    </row>
    <row r="174" s="36" customFormat="1" ht="15.6" spans="12:12">
      <c r="L174" s="173"/>
    </row>
    <row r="175" s="36" customFormat="1" ht="15.6" spans="12:12">
      <c r="L175" s="173"/>
    </row>
    <row r="176" s="36" customFormat="1" ht="15.6" spans="12:12">
      <c r="L176" s="173"/>
    </row>
    <row r="177" s="36" customFormat="1" ht="15.6" spans="12:12">
      <c r="L177" s="173"/>
    </row>
    <row r="178" s="36" customFormat="1" ht="15.6" spans="12:12">
      <c r="L178" s="173"/>
    </row>
    <row r="179" s="36" customFormat="1" ht="15.6" spans="12:12">
      <c r="L179" s="173"/>
    </row>
    <row r="180" s="36" customFormat="1" ht="15.6" spans="12:12">
      <c r="L180" s="173"/>
    </row>
    <row r="181" s="36" customFormat="1" ht="15.6" spans="12:12">
      <c r="L181" s="173"/>
    </row>
    <row r="182" s="36" customFormat="1" ht="15.6" spans="12:12">
      <c r="L182" s="173"/>
    </row>
    <row r="183" s="36" customFormat="1" ht="15.6" spans="12:12">
      <c r="L183" s="173"/>
    </row>
    <row r="184" s="36" customFormat="1" ht="15.6" spans="12:12">
      <c r="L184" s="173"/>
    </row>
    <row r="185" s="36" customFormat="1" ht="15.6" spans="12:12">
      <c r="L185" s="173"/>
    </row>
    <row r="186" s="36" customFormat="1" ht="15.6" spans="12:12">
      <c r="L186" s="173"/>
    </row>
    <row r="187" s="36" customFormat="1" ht="15.6" spans="12:12">
      <c r="L187" s="173"/>
    </row>
    <row r="188" s="36" customFormat="1" ht="15.6" spans="12:12">
      <c r="L188" s="173"/>
    </row>
    <row r="189" s="36" customFormat="1" ht="15.6" spans="12:12">
      <c r="L189" s="173"/>
    </row>
    <row r="190" s="36" customFormat="1" ht="15.6" spans="12:12">
      <c r="L190" s="173"/>
    </row>
    <row r="191" s="36" customFormat="1" ht="15.6" spans="12:12">
      <c r="L191" s="173"/>
    </row>
    <row r="192" s="36" customFormat="1" ht="15.6" spans="12:12">
      <c r="L192" s="173"/>
    </row>
    <row r="193" s="36" customFormat="1" ht="15.6" spans="12:12">
      <c r="L193" s="173"/>
    </row>
    <row r="194" s="36" customFormat="1" ht="15.6" spans="12:12">
      <c r="L194" s="173"/>
    </row>
    <row r="195" s="36" customFormat="1" ht="15.6" spans="12:12">
      <c r="L195" s="173"/>
    </row>
    <row r="196" s="36" customFormat="1" ht="15.6" spans="12:12">
      <c r="L196" s="173"/>
    </row>
    <row r="197" s="36" customFormat="1" ht="15.6" spans="12:12">
      <c r="L197" s="173"/>
    </row>
    <row r="198" s="36" customFormat="1" ht="15.6" spans="12:12">
      <c r="L198" s="173"/>
    </row>
    <row r="199" s="36" customFormat="1" ht="15.6" spans="12:12">
      <c r="L199" s="173"/>
    </row>
    <row r="200" s="36" customFormat="1" ht="15.6" spans="12:12">
      <c r="L200" s="173"/>
    </row>
    <row r="201" s="36" customFormat="1" ht="15.6" spans="12:12">
      <c r="L201" s="173"/>
    </row>
    <row r="202" s="36" customFormat="1" ht="15.6" spans="12:12">
      <c r="L202" s="173"/>
    </row>
    <row r="203" s="36" customFormat="1" ht="15.6" spans="12:12">
      <c r="L203" s="173"/>
    </row>
    <row r="204" s="36" customFormat="1" ht="15.6" spans="12:12">
      <c r="L204" s="173"/>
    </row>
    <row r="205" s="36" customFormat="1" ht="15.6" spans="12:12">
      <c r="L205" s="173"/>
    </row>
    <row r="206" s="36" customFormat="1" ht="15.6" spans="12:12">
      <c r="L206" s="173"/>
    </row>
    <row r="207" s="36" customFormat="1" ht="15.6" spans="12:12">
      <c r="L207" s="173"/>
    </row>
    <row r="208" s="36" customFormat="1" ht="15.6" spans="12:12">
      <c r="L208" s="173"/>
    </row>
    <row r="209" s="36" customFormat="1" ht="15.6" spans="12:12">
      <c r="L209" s="173"/>
    </row>
    <row r="210" s="36" customFormat="1" ht="15.6" spans="12:12">
      <c r="L210" s="173"/>
    </row>
    <row r="211" s="36" customFormat="1" ht="15.6" spans="12:12">
      <c r="L211" s="173"/>
    </row>
    <row r="212" s="36" customFormat="1" ht="15.6" spans="12:12">
      <c r="L212" s="173"/>
    </row>
    <row r="213" s="36" customFormat="1" ht="15.6" spans="12:12">
      <c r="L213" s="173"/>
    </row>
    <row r="214" s="36" customFormat="1" ht="15.6" spans="12:12">
      <c r="L214" s="173"/>
    </row>
    <row r="215" s="36" customFormat="1" ht="15.6" spans="12:12">
      <c r="L215" s="173"/>
    </row>
    <row r="216" s="36" customFormat="1" ht="15.6" spans="12:12">
      <c r="L216" s="173"/>
    </row>
    <row r="217" s="36" customFormat="1" ht="15.6" spans="12:12">
      <c r="L217" s="173"/>
    </row>
    <row r="218" s="36" customFormat="1" ht="15.6" spans="12:12">
      <c r="L218" s="173"/>
    </row>
    <row r="219" s="36" customFormat="1" ht="15.6" spans="12:12">
      <c r="L219" s="173"/>
    </row>
    <row r="220" s="36" customFormat="1" ht="15.6" spans="12:12">
      <c r="L220" s="173"/>
    </row>
    <row r="221" s="36" customFormat="1" ht="15.6" spans="12:12">
      <c r="L221" s="173"/>
    </row>
    <row r="222" s="36" customFormat="1" ht="15.6" spans="12:12">
      <c r="L222" s="173"/>
    </row>
    <row r="223" s="36" customFormat="1" ht="15.6" spans="12:12">
      <c r="L223" s="173"/>
    </row>
    <row r="224" s="36" customFormat="1" ht="15.6" spans="12:12">
      <c r="L224" s="173"/>
    </row>
    <row r="225" s="36" customFormat="1" ht="15.6" spans="12:12">
      <c r="L225" s="173"/>
    </row>
    <row r="226" s="36" customFormat="1" ht="15.6" spans="12:12">
      <c r="L226" s="173"/>
    </row>
    <row r="227" s="36" customFormat="1" ht="15.6" spans="12:12">
      <c r="L227" s="173"/>
    </row>
    <row r="228" s="36" customFormat="1" ht="15.6" spans="12:12">
      <c r="L228" s="173"/>
    </row>
    <row r="229" s="36" customFormat="1" ht="15.6" spans="12:12">
      <c r="L229" s="173"/>
    </row>
    <row r="230" s="36" customFormat="1" ht="15.6" spans="12:12">
      <c r="L230" s="173"/>
    </row>
    <row r="231" s="36" customFormat="1" ht="15.6" spans="12:12">
      <c r="L231" s="173"/>
    </row>
    <row r="232" s="36" customFormat="1" ht="15.6" spans="12:12">
      <c r="L232" s="173"/>
    </row>
    <row r="233" s="36" customFormat="1" ht="15.6" spans="12:12">
      <c r="L233" s="173"/>
    </row>
    <row r="234" s="36" customFormat="1" ht="15.6" spans="12:12">
      <c r="L234" s="173"/>
    </row>
    <row r="235" s="36" customFormat="1" ht="15.6" spans="12:12">
      <c r="L235" s="173"/>
    </row>
    <row r="236" s="36" customFormat="1" ht="15.6" spans="12:12">
      <c r="L236" s="173"/>
    </row>
    <row r="237" s="36" customFormat="1" ht="15.6" spans="12:12">
      <c r="L237" s="173"/>
    </row>
    <row r="238" s="36" customFormat="1" ht="15.6" spans="12:12">
      <c r="L238" s="173"/>
    </row>
    <row r="239" s="36" customFormat="1" ht="15.6" spans="12:12">
      <c r="L239" s="173"/>
    </row>
    <row r="240" s="36" customFormat="1" ht="15.6" spans="12:12">
      <c r="L240" s="173"/>
    </row>
    <row r="241" s="36" customFormat="1" ht="15.6" spans="12:12">
      <c r="L241" s="173"/>
    </row>
    <row r="242" s="36" customFormat="1" ht="15.6" spans="12:12">
      <c r="L242" s="173"/>
    </row>
    <row r="243" s="36" customFormat="1" ht="15.6" spans="12:12">
      <c r="L243" s="173"/>
    </row>
    <row r="244" s="36" customFormat="1" ht="15.6" spans="12:12">
      <c r="L244" s="173"/>
    </row>
    <row r="245" s="36" customFormat="1" ht="15.6" spans="12:12">
      <c r="L245" s="173"/>
    </row>
    <row r="246" s="36" customFormat="1" ht="15.6" spans="12:12">
      <c r="L246" s="173"/>
    </row>
    <row r="247" s="36" customFormat="1" ht="15.6" spans="12:12">
      <c r="L247" s="173"/>
    </row>
    <row r="248" s="36" customFormat="1" ht="15.6" spans="12:12">
      <c r="L248" s="173"/>
    </row>
    <row r="249" s="36" customFormat="1" ht="15.6" spans="12:12">
      <c r="L249" s="173"/>
    </row>
    <row r="250" s="36" customFormat="1" ht="15.6" spans="12:12">
      <c r="L250" s="173"/>
    </row>
  </sheetData>
  <mergeCells count="13">
    <mergeCell ref="A2:L2"/>
    <mergeCell ref="B4:I4"/>
    <mergeCell ref="J4:L4"/>
    <mergeCell ref="H5:I5"/>
    <mergeCell ref="K5:L5"/>
    <mergeCell ref="A4:A6"/>
    <mergeCell ref="B5:B6"/>
    <mergeCell ref="C5:C6"/>
    <mergeCell ref="D5:D6"/>
    <mergeCell ref="E5:E6"/>
    <mergeCell ref="F5:F6"/>
    <mergeCell ref="G5:G6"/>
    <mergeCell ref="J5:J6"/>
  </mergeCells>
  <pageMargins left="0.357638888888889" right="0.357638888888889" top="0.409027777777778" bottom="0.60625" header="0.5" footer="0.314583333333333"/>
  <pageSetup paperSize="9" firstPageNumber="81" orientation="landscape" useFirstPageNumber="1" horizontalDpi="600"/>
  <headerFooter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Q218"/>
  <sheetViews>
    <sheetView showZeros="0" workbookViewId="0">
      <pane xSplit="1" ySplit="6" topLeftCell="B21" activePane="bottomRight" state="frozen"/>
      <selection/>
      <selection pane="topRight"/>
      <selection pane="bottomLeft"/>
      <selection pane="bottomRight" activeCell="K38" sqref="K38"/>
    </sheetView>
  </sheetViews>
  <sheetFormatPr defaultColWidth="9" defaultRowHeight="14.4"/>
  <cols>
    <col min="1" max="1" width="27" style="90" customWidth="1"/>
    <col min="2" max="2" width="8.60185185185185" style="91" customWidth="1"/>
    <col min="3" max="3" width="8.66666666666667" style="90" customWidth="1"/>
    <col min="4" max="4" width="8.22222222222222" style="92" customWidth="1"/>
    <col min="5" max="5" width="9.11111111111111" style="90" customWidth="1"/>
    <col min="6" max="6" width="8.86111111111111" style="90" customWidth="1"/>
    <col min="7" max="7" width="8.26851851851852" style="90" customWidth="1"/>
    <col min="8" max="8" width="7.73148148148148" style="90" customWidth="1"/>
    <col min="9" max="9" width="9.12962962962963" style="34" customWidth="1"/>
    <col min="10" max="10" width="8.12962962962963" style="90" customWidth="1"/>
    <col min="11" max="11" width="8.52777777777778" style="90" customWidth="1"/>
    <col min="12" max="12" width="7.26851851851852" style="90" customWidth="1"/>
    <col min="13" max="13" width="7.86111111111111" style="90" customWidth="1"/>
    <col min="14" max="14" width="8.73148148148148" style="90" customWidth="1"/>
    <col min="15" max="15" width="9.26851851851852" style="90" customWidth="1"/>
    <col min="16" max="16384" width="9" style="90"/>
  </cols>
  <sheetData>
    <row r="1" ht="23.1" customHeight="1" spans="1:1">
      <c r="A1" s="5" t="s">
        <v>1503</v>
      </c>
    </row>
    <row r="2" s="84" customFormat="1" ht="30.95" customHeight="1" spans="1:15">
      <c r="A2" s="93" t="s">
        <v>1504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="85" customFormat="1" ht="21.95" customHeight="1" spans="1:15">
      <c r="A3" s="95"/>
      <c r="B3" s="96"/>
      <c r="C3" s="96"/>
      <c r="D3" s="96"/>
      <c r="E3" s="97"/>
      <c r="F3" s="97"/>
      <c r="G3" s="96"/>
      <c r="H3" s="96"/>
      <c r="I3" s="122"/>
      <c r="J3" s="96"/>
      <c r="K3" s="96"/>
      <c r="L3" s="96"/>
      <c r="M3" s="96"/>
      <c r="N3" s="96" t="s">
        <v>2</v>
      </c>
      <c r="O3" s="97"/>
    </row>
    <row r="4" s="86" customFormat="1" ht="27" customHeight="1" spans="1:15">
      <c r="A4" s="98" t="s">
        <v>3</v>
      </c>
      <c r="B4" s="9" t="s">
        <v>4</v>
      </c>
      <c r="C4" s="10"/>
      <c r="D4" s="10"/>
      <c r="E4" s="10"/>
      <c r="F4" s="10"/>
      <c r="G4" s="10"/>
      <c r="H4" s="10"/>
      <c r="I4" s="123"/>
      <c r="J4" s="26" t="s">
        <v>5</v>
      </c>
      <c r="K4" s="26"/>
      <c r="L4" s="26"/>
      <c r="M4" s="26"/>
      <c r="N4" s="26"/>
      <c r="O4" s="26"/>
    </row>
    <row r="5" s="86" customFormat="1" ht="30.95" customHeight="1" spans="1:15">
      <c r="A5" s="98"/>
      <c r="B5" s="12" t="s">
        <v>114</v>
      </c>
      <c r="C5" s="12" t="s">
        <v>115</v>
      </c>
      <c r="D5" s="12" t="s">
        <v>166</v>
      </c>
      <c r="E5" s="13" t="s">
        <v>1505</v>
      </c>
      <c r="F5" s="13" t="s">
        <v>1506</v>
      </c>
      <c r="G5" s="12" t="s">
        <v>1507</v>
      </c>
      <c r="H5" s="26" t="s">
        <v>118</v>
      </c>
      <c r="I5" s="124"/>
      <c r="J5" s="12" t="s">
        <v>12</v>
      </c>
      <c r="K5" s="125" t="s">
        <v>1508</v>
      </c>
      <c r="L5" s="125"/>
      <c r="M5" s="125"/>
      <c r="N5" s="26" t="s">
        <v>13</v>
      </c>
      <c r="O5" s="26"/>
    </row>
    <row r="6" s="87" customFormat="1" ht="30.95" customHeight="1" spans="1:15">
      <c r="A6" s="98"/>
      <c r="B6" s="14"/>
      <c r="C6" s="14"/>
      <c r="D6" s="14"/>
      <c r="E6" s="15"/>
      <c r="F6" s="15"/>
      <c r="G6" s="14"/>
      <c r="H6" s="99" t="s">
        <v>14</v>
      </c>
      <c r="I6" s="126" t="s">
        <v>1476</v>
      </c>
      <c r="J6" s="14"/>
      <c r="K6" s="27" t="s">
        <v>1509</v>
      </c>
      <c r="L6" s="27" t="s">
        <v>1510</v>
      </c>
      <c r="M6" s="27" t="s">
        <v>1511</v>
      </c>
      <c r="N6" s="99" t="s">
        <v>14</v>
      </c>
      <c r="O6" s="126" t="s">
        <v>1476</v>
      </c>
    </row>
    <row r="7" s="86" customFormat="1" ht="26.1" customHeight="1" spans="1:16">
      <c r="A7" s="100" t="s">
        <v>1512</v>
      </c>
      <c r="B7" s="101">
        <f>B8+B12</f>
        <v>4</v>
      </c>
      <c r="C7" s="101">
        <f>C8</f>
        <v>4</v>
      </c>
      <c r="D7" s="101">
        <f>D8</f>
        <v>0</v>
      </c>
      <c r="E7" s="102">
        <f>D7/B7</f>
        <v>0</v>
      </c>
      <c r="F7" s="103">
        <f t="shared" ref="F7:F9" si="0">D7/C7</f>
        <v>0</v>
      </c>
      <c r="G7" s="101">
        <f>G8+G12</f>
        <v>4</v>
      </c>
      <c r="H7" s="101">
        <f t="shared" ref="H7:H36" si="1">D7-G7</f>
        <v>-4</v>
      </c>
      <c r="I7" s="127">
        <f>H7/G7</f>
        <v>-1</v>
      </c>
      <c r="J7" s="101">
        <f>SUM(J8:J13)</f>
        <v>0</v>
      </c>
      <c r="K7" s="101">
        <f>SUM(K8:K13)</f>
        <v>0</v>
      </c>
      <c r="L7" s="101">
        <f>SUM(L8:L13)</f>
        <v>0</v>
      </c>
      <c r="M7" s="101">
        <f>SUM(M8:M13)</f>
        <v>0</v>
      </c>
      <c r="N7" s="110">
        <f t="shared" ref="N7:N15" si="2">J7-D7</f>
        <v>0</v>
      </c>
      <c r="O7" s="128"/>
      <c r="P7" s="129"/>
    </row>
    <row r="8" s="87" customFormat="1" ht="29.1" customHeight="1" spans="1:16">
      <c r="A8" s="104" t="s">
        <v>1513</v>
      </c>
      <c r="B8" s="105">
        <f>B9+B10</f>
        <v>4</v>
      </c>
      <c r="C8" s="105">
        <f>SUM(C9:C11)</f>
        <v>4</v>
      </c>
      <c r="D8" s="105"/>
      <c r="E8" s="106"/>
      <c r="F8" s="30">
        <f t="shared" si="0"/>
        <v>0</v>
      </c>
      <c r="G8" s="105">
        <v>4</v>
      </c>
      <c r="H8" s="107">
        <f t="shared" si="1"/>
        <v>-4</v>
      </c>
      <c r="I8" s="127">
        <f>H8/G8</f>
        <v>-1</v>
      </c>
      <c r="J8" s="109">
        <f t="shared" ref="J8:J13" si="3">SUM(K8:M8)</f>
        <v>0</v>
      </c>
      <c r="K8" s="105"/>
      <c r="L8" s="105"/>
      <c r="M8" s="105"/>
      <c r="N8" s="109">
        <f t="shared" si="2"/>
        <v>0</v>
      </c>
      <c r="O8" s="130"/>
      <c r="P8" s="131"/>
    </row>
    <row r="9" s="87" customFormat="1" ht="24" customHeight="1" spans="1:16">
      <c r="A9" s="104" t="s">
        <v>1514</v>
      </c>
      <c r="B9" s="105">
        <v>1</v>
      </c>
      <c r="C9" s="105">
        <v>4</v>
      </c>
      <c r="D9" s="105"/>
      <c r="E9" s="106"/>
      <c r="F9" s="30">
        <f t="shared" si="0"/>
        <v>0</v>
      </c>
      <c r="G9" s="105">
        <v>1</v>
      </c>
      <c r="H9" s="107">
        <f t="shared" si="1"/>
        <v>-1</v>
      </c>
      <c r="I9" s="127">
        <f>H9/G9</f>
        <v>-1</v>
      </c>
      <c r="J9" s="109">
        <f t="shared" si="3"/>
        <v>0</v>
      </c>
      <c r="K9" s="105"/>
      <c r="L9" s="105"/>
      <c r="M9" s="105"/>
      <c r="N9" s="109">
        <f t="shared" si="2"/>
        <v>0</v>
      </c>
      <c r="O9" s="130"/>
      <c r="P9" s="131"/>
    </row>
    <row r="10" s="87" customFormat="1" ht="21" customHeight="1" spans="1:16">
      <c r="A10" s="104" t="s">
        <v>1515</v>
      </c>
      <c r="B10" s="105">
        <v>3</v>
      </c>
      <c r="C10" s="105">
        <v>0</v>
      </c>
      <c r="D10" s="105">
        <v>0</v>
      </c>
      <c r="E10" s="106"/>
      <c r="F10" s="30"/>
      <c r="G10" s="105"/>
      <c r="H10" s="107">
        <f t="shared" si="1"/>
        <v>0</v>
      </c>
      <c r="I10" s="127"/>
      <c r="J10" s="109">
        <f t="shared" si="3"/>
        <v>0</v>
      </c>
      <c r="K10" s="105"/>
      <c r="L10" s="105"/>
      <c r="M10" s="105"/>
      <c r="N10" s="109">
        <f t="shared" si="2"/>
        <v>0</v>
      </c>
      <c r="O10" s="130"/>
      <c r="P10" s="131"/>
    </row>
    <row r="11" s="87" customFormat="1" ht="27" customHeight="1" spans="1:16">
      <c r="A11" s="104" t="s">
        <v>1516</v>
      </c>
      <c r="B11" s="105"/>
      <c r="C11" s="105"/>
      <c r="D11" s="105"/>
      <c r="E11" s="106"/>
      <c r="F11" s="30"/>
      <c r="G11" s="105">
        <v>3</v>
      </c>
      <c r="H11" s="107">
        <f t="shared" si="1"/>
        <v>-3</v>
      </c>
      <c r="I11" s="127">
        <f>H11/G11</f>
        <v>-1</v>
      </c>
      <c r="J11" s="109">
        <f t="shared" si="3"/>
        <v>0</v>
      </c>
      <c r="K11" s="105"/>
      <c r="L11" s="105"/>
      <c r="M11" s="105"/>
      <c r="N11" s="109">
        <f t="shared" si="2"/>
        <v>0</v>
      </c>
      <c r="O11" s="130"/>
      <c r="P11" s="131"/>
    </row>
    <row r="12" s="87" customFormat="1" ht="18.75" customHeight="1" spans="1:16">
      <c r="A12" s="108" t="s">
        <v>1517</v>
      </c>
      <c r="B12" s="109">
        <f>B13</f>
        <v>0</v>
      </c>
      <c r="C12" s="109">
        <v>0</v>
      </c>
      <c r="D12" s="109">
        <v>0</v>
      </c>
      <c r="E12" s="106"/>
      <c r="F12" s="30"/>
      <c r="G12" s="109"/>
      <c r="H12" s="107">
        <f t="shared" si="1"/>
        <v>0</v>
      </c>
      <c r="I12" s="127"/>
      <c r="J12" s="109">
        <f t="shared" si="3"/>
        <v>0</v>
      </c>
      <c r="K12" s="109"/>
      <c r="L12" s="109"/>
      <c r="M12" s="109"/>
      <c r="N12" s="109">
        <f t="shared" si="2"/>
        <v>0</v>
      </c>
      <c r="O12" s="130"/>
      <c r="P12" s="131"/>
    </row>
    <row r="13" s="87" customFormat="1" ht="30" customHeight="1" spans="1:16">
      <c r="A13" s="104" t="s">
        <v>1518</v>
      </c>
      <c r="B13" s="109"/>
      <c r="C13" s="109">
        <v>0</v>
      </c>
      <c r="D13" s="109">
        <v>0</v>
      </c>
      <c r="E13" s="106"/>
      <c r="F13" s="30"/>
      <c r="G13" s="109">
        <v>0</v>
      </c>
      <c r="H13" s="107">
        <f t="shared" si="1"/>
        <v>0</v>
      </c>
      <c r="I13" s="127"/>
      <c r="J13" s="109">
        <f t="shared" si="3"/>
        <v>0</v>
      </c>
      <c r="K13" s="109"/>
      <c r="L13" s="109"/>
      <c r="M13" s="109"/>
      <c r="N13" s="109">
        <f t="shared" si="2"/>
        <v>0</v>
      </c>
      <c r="O13" s="130"/>
      <c r="P13" s="131"/>
    </row>
    <row r="14" s="86" customFormat="1" ht="21" customHeight="1" spans="1:16">
      <c r="A14" s="100" t="s">
        <v>1519</v>
      </c>
      <c r="B14" s="110">
        <f>B15+B18</f>
        <v>119</v>
      </c>
      <c r="C14" s="110">
        <f>C15+C18</f>
        <v>291</v>
      </c>
      <c r="D14" s="110">
        <f>D15+D18</f>
        <v>49</v>
      </c>
      <c r="E14" s="102"/>
      <c r="F14" s="103">
        <f>D14/C14</f>
        <v>0.168384879725086</v>
      </c>
      <c r="G14" s="110">
        <f>G15+G18</f>
        <v>74</v>
      </c>
      <c r="H14" s="101">
        <f t="shared" si="1"/>
        <v>-25</v>
      </c>
      <c r="I14" s="127">
        <f>H14/G14</f>
        <v>-0.337837837837838</v>
      </c>
      <c r="J14" s="110">
        <f>J15+J18</f>
        <v>51.32</v>
      </c>
      <c r="K14" s="110">
        <f>K15+K18</f>
        <v>0</v>
      </c>
      <c r="L14" s="110">
        <f>L15+L18</f>
        <v>51.32</v>
      </c>
      <c r="M14" s="110">
        <f>M15+M18</f>
        <v>0</v>
      </c>
      <c r="N14" s="110">
        <f t="shared" si="2"/>
        <v>2.32</v>
      </c>
      <c r="O14" s="128">
        <f>N14/D14</f>
        <v>0.0473469387755102</v>
      </c>
      <c r="P14" s="129"/>
    </row>
    <row r="15" s="87" customFormat="1" ht="29" customHeight="1" spans="1:16">
      <c r="A15" s="104" t="s">
        <v>1520</v>
      </c>
      <c r="B15" s="105">
        <f>B16+B17</f>
        <v>119</v>
      </c>
      <c r="C15" s="105">
        <f>C16+C17</f>
        <v>291</v>
      </c>
      <c r="D15" s="105">
        <f>D16+D17</f>
        <v>49</v>
      </c>
      <c r="E15" s="106"/>
      <c r="F15" s="30">
        <f>D15/C15</f>
        <v>0.168384879725086</v>
      </c>
      <c r="G15" s="105">
        <v>49</v>
      </c>
      <c r="H15" s="107">
        <f t="shared" si="1"/>
        <v>0</v>
      </c>
      <c r="I15" s="127">
        <f>H15/G15</f>
        <v>0</v>
      </c>
      <c r="J15" s="109">
        <f>J16+J17</f>
        <v>51.32</v>
      </c>
      <c r="K15" s="109">
        <f>K16+K17</f>
        <v>0</v>
      </c>
      <c r="L15" s="109">
        <f>L16+L17</f>
        <v>51.32</v>
      </c>
      <c r="M15" s="109">
        <f>M16+M17</f>
        <v>0</v>
      </c>
      <c r="N15" s="109">
        <f t="shared" si="2"/>
        <v>2.32</v>
      </c>
      <c r="O15" s="130">
        <f>N15/D15</f>
        <v>0.0473469387755102</v>
      </c>
      <c r="P15" s="131"/>
    </row>
    <row r="16" s="87" customFormat="1" ht="21" customHeight="1" spans="1:16">
      <c r="A16" s="104" t="s">
        <v>1521</v>
      </c>
      <c r="B16" s="111">
        <v>94</v>
      </c>
      <c r="C16" s="112">
        <f>D16+242</f>
        <v>291</v>
      </c>
      <c r="D16" s="112">
        <v>49</v>
      </c>
      <c r="E16" s="106"/>
      <c r="F16" s="30">
        <f>D16/C16</f>
        <v>0.168384879725086</v>
      </c>
      <c r="G16" s="112">
        <v>49</v>
      </c>
      <c r="H16" s="107">
        <f t="shared" si="1"/>
        <v>0</v>
      </c>
      <c r="I16" s="127">
        <f>H16/G16</f>
        <v>0</v>
      </c>
      <c r="J16" s="109">
        <f>SUM(K16:M16)</f>
        <v>49.32</v>
      </c>
      <c r="K16" s="112"/>
      <c r="L16" s="112">
        <v>49.32</v>
      </c>
      <c r="M16" s="112"/>
      <c r="N16" s="109"/>
      <c r="O16" s="130">
        <f>N16/D16</f>
        <v>0</v>
      </c>
      <c r="P16" s="131"/>
    </row>
    <row r="17" s="87" customFormat="1" ht="29" customHeight="1" spans="1:16">
      <c r="A17" s="104" t="s">
        <v>1522</v>
      </c>
      <c r="B17" s="111">
        <v>25</v>
      </c>
      <c r="C17" s="112"/>
      <c r="D17" s="112"/>
      <c r="E17" s="106"/>
      <c r="F17" s="30"/>
      <c r="G17" s="112"/>
      <c r="H17" s="107">
        <f t="shared" si="1"/>
        <v>0</v>
      </c>
      <c r="I17" s="127"/>
      <c r="J17" s="109">
        <f>SUM(K17:M17)</f>
        <v>2</v>
      </c>
      <c r="K17" s="112"/>
      <c r="L17" s="112">
        <v>2</v>
      </c>
      <c r="M17" s="112"/>
      <c r="N17" s="109">
        <f t="shared" ref="N17:N25" si="4">J17-D17</f>
        <v>2</v>
      </c>
      <c r="O17" s="130"/>
      <c r="P17" s="131"/>
    </row>
    <row r="18" s="87" customFormat="1" ht="27" customHeight="1" spans="1:17">
      <c r="A18" s="104" t="s">
        <v>1523</v>
      </c>
      <c r="B18" s="109"/>
      <c r="C18" s="109"/>
      <c r="D18" s="109"/>
      <c r="E18" s="106"/>
      <c r="F18" s="30"/>
      <c r="G18" s="109">
        <v>25</v>
      </c>
      <c r="H18" s="107">
        <f t="shared" si="1"/>
        <v>-25</v>
      </c>
      <c r="I18" s="127">
        <f>H18/G18</f>
        <v>-1</v>
      </c>
      <c r="J18" s="109">
        <f>SUM(K18:M18)</f>
        <v>0</v>
      </c>
      <c r="K18" s="109"/>
      <c r="L18" s="109"/>
      <c r="M18" s="109"/>
      <c r="N18" s="109">
        <f t="shared" si="4"/>
        <v>0</v>
      </c>
      <c r="O18" s="130"/>
      <c r="P18" s="131"/>
      <c r="Q18" s="87">
        <f>SUM(Q19:Q20)</f>
        <v>0</v>
      </c>
    </row>
    <row r="19" s="86" customFormat="1" ht="21.95" customHeight="1" spans="1:16">
      <c r="A19" s="100" t="s">
        <v>1524</v>
      </c>
      <c r="B19" s="101">
        <f>SUM(B20:B25)</f>
        <v>34003</v>
      </c>
      <c r="C19" s="101">
        <f>SUM(C20:C25)</f>
        <v>21110</v>
      </c>
      <c r="D19" s="101">
        <f>SUM(D20:D25)</f>
        <v>21719</v>
      </c>
      <c r="E19" s="102">
        <f t="shared" ref="E19:E25" si="5">D19/B19</f>
        <v>0.638737758433079</v>
      </c>
      <c r="F19" s="103">
        <f>D19/C19</f>
        <v>1.02884888678351</v>
      </c>
      <c r="G19" s="101">
        <f>SUM(G20:G25)</f>
        <v>25990</v>
      </c>
      <c r="H19" s="101">
        <f t="shared" si="1"/>
        <v>-4271</v>
      </c>
      <c r="I19" s="127">
        <f>H19/G19</f>
        <v>-0.164332435552135</v>
      </c>
      <c r="J19" s="101">
        <f>SUM(J20:J25)</f>
        <v>38162</v>
      </c>
      <c r="K19" s="101">
        <f>SUM(K20:K25)</f>
        <v>25850</v>
      </c>
      <c r="L19" s="101">
        <f>SUM(L20:L25)</f>
        <v>0</v>
      </c>
      <c r="M19" s="101">
        <f>SUM(M20:M25)</f>
        <v>12312</v>
      </c>
      <c r="N19" s="110">
        <f t="shared" si="4"/>
        <v>16443</v>
      </c>
      <c r="O19" s="128">
        <f t="shared" ref="O19:O21" si="6">N19/D19</f>
        <v>0.75707905520512</v>
      </c>
      <c r="P19" s="129"/>
    </row>
    <row r="20" s="87" customFormat="1" ht="29" customHeight="1" spans="1:16">
      <c r="A20" s="113" t="s">
        <v>1525</v>
      </c>
      <c r="B20" s="105">
        <v>32813</v>
      </c>
      <c r="C20" s="105">
        <v>20330</v>
      </c>
      <c r="D20" s="105">
        <f>20330+609</f>
        <v>20939</v>
      </c>
      <c r="E20" s="106">
        <f t="shared" si="5"/>
        <v>0.638131228476518</v>
      </c>
      <c r="F20" s="30">
        <f>D20/C20</f>
        <v>1.02995573044761</v>
      </c>
      <c r="G20" s="105">
        <v>24658</v>
      </c>
      <c r="H20" s="107">
        <f t="shared" si="1"/>
        <v>-3719</v>
      </c>
      <c r="I20" s="127">
        <f>H20/G20</f>
        <v>-0.150823262227269</v>
      </c>
      <c r="J20" s="105">
        <f t="shared" ref="J20:J26" si="7">SUM(K20:M20)</f>
        <v>37312</v>
      </c>
      <c r="K20" s="105">
        <f>25000</f>
        <v>25000</v>
      </c>
      <c r="L20" s="105"/>
      <c r="M20" s="105">
        <v>12312</v>
      </c>
      <c r="N20" s="109">
        <f t="shared" si="4"/>
        <v>16373</v>
      </c>
      <c r="O20" s="130">
        <f t="shared" si="6"/>
        <v>0.781938010411194</v>
      </c>
      <c r="P20" s="131"/>
    </row>
    <row r="21" s="87" customFormat="1" ht="23" customHeight="1" spans="1:16">
      <c r="A21" s="113" t="s">
        <v>1526</v>
      </c>
      <c r="B21" s="105">
        <v>488</v>
      </c>
      <c r="C21" s="105"/>
      <c r="D21" s="105"/>
      <c r="E21" s="106"/>
      <c r="F21" s="30"/>
      <c r="G21" s="105">
        <v>894</v>
      </c>
      <c r="H21" s="107">
        <f t="shared" si="1"/>
        <v>-894</v>
      </c>
      <c r="I21" s="127">
        <f>H21/G21</f>
        <v>-1</v>
      </c>
      <c r="J21" s="105">
        <f t="shared" si="7"/>
        <v>300</v>
      </c>
      <c r="K21" s="105">
        <v>300</v>
      </c>
      <c r="L21" s="105"/>
      <c r="M21" s="105"/>
      <c r="N21" s="109">
        <f t="shared" si="4"/>
        <v>300</v>
      </c>
      <c r="O21" s="130"/>
      <c r="P21" s="131"/>
    </row>
    <row r="22" s="87" customFormat="1" ht="29" hidden="1" customHeight="1" spans="1:16">
      <c r="A22" s="113" t="s">
        <v>1527</v>
      </c>
      <c r="B22" s="105"/>
      <c r="C22" s="105">
        <v>0</v>
      </c>
      <c r="D22" s="105">
        <v>0</v>
      </c>
      <c r="E22" s="106"/>
      <c r="F22" s="30"/>
      <c r="G22" s="105">
        <v>0</v>
      </c>
      <c r="H22" s="107">
        <f t="shared" si="1"/>
        <v>0</v>
      </c>
      <c r="I22" s="127"/>
      <c r="J22" s="105">
        <f t="shared" si="7"/>
        <v>0</v>
      </c>
      <c r="K22" s="105"/>
      <c r="L22" s="105"/>
      <c r="M22" s="105"/>
      <c r="N22" s="109">
        <f t="shared" si="4"/>
        <v>0</v>
      </c>
      <c r="O22" s="130"/>
      <c r="P22" s="131"/>
    </row>
    <row r="23" s="87" customFormat="1" ht="28.8" hidden="1" spans="1:16">
      <c r="A23" s="113" t="s">
        <v>1528</v>
      </c>
      <c r="B23" s="105"/>
      <c r="C23" s="105">
        <v>0</v>
      </c>
      <c r="D23" s="105">
        <v>0</v>
      </c>
      <c r="E23" s="106"/>
      <c r="F23" s="30"/>
      <c r="G23" s="105">
        <v>0</v>
      </c>
      <c r="H23" s="107">
        <f t="shared" si="1"/>
        <v>0</v>
      </c>
      <c r="I23" s="127"/>
      <c r="J23" s="105">
        <f t="shared" si="7"/>
        <v>0</v>
      </c>
      <c r="K23" s="105"/>
      <c r="L23" s="105"/>
      <c r="M23" s="105"/>
      <c r="N23" s="109">
        <f t="shared" si="4"/>
        <v>0</v>
      </c>
      <c r="O23" s="130"/>
      <c r="P23" s="131"/>
    </row>
    <row r="24" s="87" customFormat="1" ht="28.8" hidden="1" spans="1:16">
      <c r="A24" s="113" t="s">
        <v>1529</v>
      </c>
      <c r="B24" s="105"/>
      <c r="C24" s="105">
        <v>0</v>
      </c>
      <c r="D24" s="105">
        <v>0</v>
      </c>
      <c r="E24" s="106"/>
      <c r="F24" s="30"/>
      <c r="G24" s="105">
        <v>0</v>
      </c>
      <c r="H24" s="107">
        <f t="shared" si="1"/>
        <v>0</v>
      </c>
      <c r="I24" s="127"/>
      <c r="J24" s="105">
        <f t="shared" si="7"/>
        <v>0</v>
      </c>
      <c r="K24" s="105">
        <v>0</v>
      </c>
      <c r="L24" s="105"/>
      <c r="M24" s="105"/>
      <c r="N24" s="109">
        <f t="shared" si="4"/>
        <v>0</v>
      </c>
      <c r="O24" s="130"/>
      <c r="P24" s="131"/>
    </row>
    <row r="25" s="87" customFormat="1" ht="24" customHeight="1" spans="1:16">
      <c r="A25" s="113" t="s">
        <v>1530</v>
      </c>
      <c r="B25" s="105">
        <v>702</v>
      </c>
      <c r="C25" s="105">
        <v>780</v>
      </c>
      <c r="D25" s="105">
        <v>780</v>
      </c>
      <c r="E25" s="106">
        <f t="shared" si="5"/>
        <v>1.11111111111111</v>
      </c>
      <c r="F25" s="30">
        <f>D25/C25</f>
        <v>1</v>
      </c>
      <c r="G25" s="105">
        <v>438</v>
      </c>
      <c r="H25" s="107">
        <f t="shared" si="1"/>
        <v>342</v>
      </c>
      <c r="I25" s="127">
        <f>H25/G25</f>
        <v>0.780821917808219</v>
      </c>
      <c r="J25" s="105">
        <f t="shared" si="7"/>
        <v>550</v>
      </c>
      <c r="K25" s="105">
        <v>550</v>
      </c>
      <c r="L25" s="105"/>
      <c r="M25" s="105"/>
      <c r="N25" s="109">
        <f t="shared" si="4"/>
        <v>-230</v>
      </c>
      <c r="O25" s="130">
        <f>N25/D25</f>
        <v>-0.294871794871795</v>
      </c>
      <c r="P25" s="131"/>
    </row>
    <row r="26" s="87" customFormat="1" ht="23.1" hidden="1" customHeight="1" spans="1:16">
      <c r="A26" s="108" t="s">
        <v>1531</v>
      </c>
      <c r="B26" s="109"/>
      <c r="C26" s="109"/>
      <c r="D26" s="109"/>
      <c r="E26" s="106" t="e">
        <f t="shared" ref="E26:E34" si="8">D26/B26</f>
        <v>#DIV/0!</v>
      </c>
      <c r="F26" s="30" t="e">
        <f t="shared" ref="F26:F35" si="9">D26/C26</f>
        <v>#DIV/0!</v>
      </c>
      <c r="G26" s="109"/>
      <c r="H26" s="107">
        <f t="shared" si="1"/>
        <v>0</v>
      </c>
      <c r="I26" s="127" t="e">
        <f t="shared" ref="I26:I35" si="10">H26/G26</f>
        <v>#DIV/0!</v>
      </c>
      <c r="J26" s="105">
        <v>0</v>
      </c>
      <c r="K26" s="109"/>
      <c r="L26" s="109"/>
      <c r="M26" s="109"/>
      <c r="N26" s="109">
        <f t="shared" ref="N26:N46" si="11">J26-D26</f>
        <v>0</v>
      </c>
      <c r="O26" s="130" t="e">
        <f t="shared" ref="O26:O35" si="12">N26/D26</f>
        <v>#DIV/0!</v>
      </c>
      <c r="P26" s="131"/>
    </row>
    <row r="27" s="87" customFormat="1" ht="23.1" hidden="1" customHeight="1" spans="1:16">
      <c r="A27" s="108" t="s">
        <v>1532</v>
      </c>
      <c r="B27" s="109"/>
      <c r="C27" s="109"/>
      <c r="D27" s="109"/>
      <c r="E27" s="106" t="e">
        <f t="shared" si="8"/>
        <v>#DIV/0!</v>
      </c>
      <c r="F27" s="30" t="e">
        <f t="shared" si="9"/>
        <v>#DIV/0!</v>
      </c>
      <c r="G27" s="109"/>
      <c r="H27" s="107">
        <f t="shared" si="1"/>
        <v>0</v>
      </c>
      <c r="I27" s="127" t="e">
        <f t="shared" si="10"/>
        <v>#DIV/0!</v>
      </c>
      <c r="J27" s="105">
        <v>0</v>
      </c>
      <c r="K27" s="109"/>
      <c r="L27" s="109"/>
      <c r="M27" s="109"/>
      <c r="N27" s="109">
        <f t="shared" si="11"/>
        <v>0</v>
      </c>
      <c r="O27" s="130" t="e">
        <f t="shared" si="12"/>
        <v>#DIV/0!</v>
      </c>
      <c r="P27" s="131"/>
    </row>
    <row r="28" s="87" customFormat="1" ht="23.1" hidden="1" customHeight="1" spans="1:16">
      <c r="A28" s="108" t="s">
        <v>1533</v>
      </c>
      <c r="B28" s="109"/>
      <c r="C28" s="109"/>
      <c r="D28" s="109"/>
      <c r="E28" s="106" t="e">
        <f t="shared" si="8"/>
        <v>#DIV/0!</v>
      </c>
      <c r="F28" s="30" t="e">
        <f t="shared" si="9"/>
        <v>#DIV/0!</v>
      </c>
      <c r="G28" s="109"/>
      <c r="H28" s="107">
        <f t="shared" si="1"/>
        <v>0</v>
      </c>
      <c r="I28" s="127" t="e">
        <f t="shared" si="10"/>
        <v>#DIV/0!</v>
      </c>
      <c r="J28" s="105">
        <v>0</v>
      </c>
      <c r="K28" s="109"/>
      <c r="L28" s="109"/>
      <c r="M28" s="109"/>
      <c r="N28" s="109">
        <f t="shared" si="11"/>
        <v>0</v>
      </c>
      <c r="O28" s="130" t="e">
        <f t="shared" si="12"/>
        <v>#DIV/0!</v>
      </c>
      <c r="P28" s="131"/>
    </row>
    <row r="29" s="87" customFormat="1" ht="23.1" hidden="1" customHeight="1" spans="1:16">
      <c r="A29" s="113" t="s">
        <v>1534</v>
      </c>
      <c r="B29" s="109"/>
      <c r="C29" s="109"/>
      <c r="D29" s="109"/>
      <c r="E29" s="106" t="e">
        <f t="shared" si="8"/>
        <v>#DIV/0!</v>
      </c>
      <c r="F29" s="30" t="e">
        <f t="shared" si="9"/>
        <v>#DIV/0!</v>
      </c>
      <c r="G29" s="109"/>
      <c r="H29" s="107">
        <f t="shared" si="1"/>
        <v>0</v>
      </c>
      <c r="I29" s="127" t="e">
        <f t="shared" si="10"/>
        <v>#DIV/0!</v>
      </c>
      <c r="J29" s="105">
        <v>0</v>
      </c>
      <c r="K29" s="109"/>
      <c r="L29" s="109"/>
      <c r="M29" s="109"/>
      <c r="N29" s="109">
        <f t="shared" si="11"/>
        <v>0</v>
      </c>
      <c r="O29" s="130" t="e">
        <f t="shared" si="12"/>
        <v>#DIV/0!</v>
      </c>
      <c r="P29" s="131"/>
    </row>
    <row r="30" s="87" customFormat="1" ht="23.1" hidden="1" customHeight="1" spans="1:16">
      <c r="A30" s="108" t="s">
        <v>1531</v>
      </c>
      <c r="B30" s="109"/>
      <c r="C30" s="105"/>
      <c r="D30" s="105"/>
      <c r="E30" s="106" t="e">
        <f t="shared" si="8"/>
        <v>#DIV/0!</v>
      </c>
      <c r="F30" s="30" t="e">
        <f t="shared" si="9"/>
        <v>#DIV/0!</v>
      </c>
      <c r="G30" s="105"/>
      <c r="H30" s="107">
        <f t="shared" si="1"/>
        <v>0</v>
      </c>
      <c r="I30" s="127" t="e">
        <f t="shared" si="10"/>
        <v>#DIV/0!</v>
      </c>
      <c r="J30" s="105">
        <v>0</v>
      </c>
      <c r="K30" s="105"/>
      <c r="L30" s="105"/>
      <c r="M30" s="105"/>
      <c r="N30" s="109">
        <f t="shared" si="11"/>
        <v>0</v>
      </c>
      <c r="O30" s="130" t="e">
        <f t="shared" si="12"/>
        <v>#DIV/0!</v>
      </c>
      <c r="P30" s="131"/>
    </row>
    <row r="31" s="87" customFormat="1" ht="23.1" hidden="1" customHeight="1" spans="1:16">
      <c r="A31" s="108" t="s">
        <v>1532</v>
      </c>
      <c r="B31" s="109"/>
      <c r="C31" s="105"/>
      <c r="D31" s="105"/>
      <c r="E31" s="106" t="e">
        <f t="shared" si="8"/>
        <v>#DIV/0!</v>
      </c>
      <c r="F31" s="30" t="e">
        <f t="shared" si="9"/>
        <v>#DIV/0!</v>
      </c>
      <c r="G31" s="105"/>
      <c r="H31" s="107">
        <f t="shared" si="1"/>
        <v>0</v>
      </c>
      <c r="I31" s="127" t="e">
        <f t="shared" si="10"/>
        <v>#DIV/0!</v>
      </c>
      <c r="J31" s="105">
        <v>0</v>
      </c>
      <c r="K31" s="105"/>
      <c r="L31" s="105"/>
      <c r="M31" s="105"/>
      <c r="N31" s="109">
        <f t="shared" si="11"/>
        <v>0</v>
      </c>
      <c r="O31" s="130" t="e">
        <f t="shared" si="12"/>
        <v>#DIV/0!</v>
      </c>
      <c r="P31" s="131"/>
    </row>
    <row r="32" s="87" customFormat="1" ht="28.8" hidden="1" spans="1:16">
      <c r="A32" s="108" t="s">
        <v>1535</v>
      </c>
      <c r="B32" s="109"/>
      <c r="C32" s="105"/>
      <c r="D32" s="105"/>
      <c r="E32" s="106" t="e">
        <f t="shared" si="8"/>
        <v>#DIV/0!</v>
      </c>
      <c r="F32" s="30" t="e">
        <f t="shared" si="9"/>
        <v>#DIV/0!</v>
      </c>
      <c r="G32" s="105"/>
      <c r="H32" s="107">
        <f t="shared" si="1"/>
        <v>0</v>
      </c>
      <c r="I32" s="127" t="e">
        <f t="shared" si="10"/>
        <v>#DIV/0!</v>
      </c>
      <c r="J32" s="105">
        <v>0</v>
      </c>
      <c r="K32" s="105"/>
      <c r="L32" s="105"/>
      <c r="M32" s="105"/>
      <c r="N32" s="109">
        <f t="shared" si="11"/>
        <v>0</v>
      </c>
      <c r="O32" s="130" t="e">
        <f t="shared" si="12"/>
        <v>#DIV/0!</v>
      </c>
      <c r="P32" s="131"/>
    </row>
    <row r="33" s="87" customFormat="1" ht="23.1" hidden="1" customHeight="1" spans="1:16">
      <c r="A33" s="114" t="s">
        <v>1536</v>
      </c>
      <c r="B33" s="109"/>
      <c r="C33" s="105"/>
      <c r="D33" s="105"/>
      <c r="E33" s="106" t="e">
        <f t="shared" si="8"/>
        <v>#DIV/0!</v>
      </c>
      <c r="F33" s="30" t="e">
        <f t="shared" si="9"/>
        <v>#DIV/0!</v>
      </c>
      <c r="G33" s="105"/>
      <c r="H33" s="107">
        <f t="shared" si="1"/>
        <v>0</v>
      </c>
      <c r="I33" s="127" t="e">
        <f t="shared" si="10"/>
        <v>#DIV/0!</v>
      </c>
      <c r="J33" s="105">
        <v>0</v>
      </c>
      <c r="K33" s="105"/>
      <c r="L33" s="105"/>
      <c r="M33" s="105"/>
      <c r="N33" s="109">
        <f t="shared" si="11"/>
        <v>0</v>
      </c>
      <c r="O33" s="130" t="e">
        <f t="shared" si="12"/>
        <v>#DIV/0!</v>
      </c>
      <c r="P33" s="131"/>
    </row>
    <row r="34" s="86" customFormat="1" ht="23.1" customHeight="1" spans="1:16">
      <c r="A34" s="100" t="s">
        <v>1537</v>
      </c>
      <c r="B34" s="110">
        <f>SUM(B35:B36)</f>
        <v>60</v>
      </c>
      <c r="C34" s="110">
        <f>SUM(C35:C36)</f>
        <v>498</v>
      </c>
      <c r="D34" s="110">
        <f>SUM(D35:D36)</f>
        <v>0</v>
      </c>
      <c r="E34" s="106">
        <f t="shared" si="8"/>
        <v>0</v>
      </c>
      <c r="F34" s="30">
        <f t="shared" si="9"/>
        <v>0</v>
      </c>
      <c r="G34" s="110">
        <f>SUM(G35:G36)</f>
        <v>426</v>
      </c>
      <c r="H34" s="101">
        <f t="shared" si="1"/>
        <v>-426</v>
      </c>
      <c r="I34" s="127">
        <f t="shared" si="10"/>
        <v>-1</v>
      </c>
      <c r="J34" s="110">
        <f>SUM(K34:M34)</f>
        <v>0</v>
      </c>
      <c r="K34" s="110">
        <f t="shared" ref="K34:M34" si="13">SUM(K35:K36)</f>
        <v>0</v>
      </c>
      <c r="L34" s="110">
        <f t="shared" si="13"/>
        <v>0</v>
      </c>
      <c r="M34" s="110">
        <f t="shared" si="13"/>
        <v>0</v>
      </c>
      <c r="N34" s="110">
        <f t="shared" si="11"/>
        <v>0</v>
      </c>
      <c r="O34" s="128"/>
      <c r="P34" s="129"/>
    </row>
    <row r="35" s="87" customFormat="1" ht="28.05" customHeight="1" spans="1:16">
      <c r="A35" s="108" t="s">
        <v>1538</v>
      </c>
      <c r="B35" s="105">
        <v>60</v>
      </c>
      <c r="C35" s="105">
        <v>498</v>
      </c>
      <c r="D35" s="105"/>
      <c r="E35" s="106"/>
      <c r="F35" s="30">
        <f t="shared" si="9"/>
        <v>0</v>
      </c>
      <c r="G35" s="105">
        <v>426</v>
      </c>
      <c r="H35" s="107">
        <f t="shared" si="1"/>
        <v>-426</v>
      </c>
      <c r="I35" s="127">
        <f t="shared" si="10"/>
        <v>-1</v>
      </c>
      <c r="J35" s="105">
        <f ca="1">SUM(J35:J36)</f>
        <v>0</v>
      </c>
      <c r="K35" s="105"/>
      <c r="L35" s="105"/>
      <c r="M35" s="105"/>
      <c r="N35" s="109">
        <f ca="1" t="shared" si="11"/>
        <v>0</v>
      </c>
      <c r="O35" s="130"/>
      <c r="P35" s="131"/>
    </row>
    <row r="36" s="87" customFormat="1" ht="26" hidden="1" customHeight="1" spans="1:16">
      <c r="A36" s="108" t="s">
        <v>1539</v>
      </c>
      <c r="B36" s="105"/>
      <c r="C36" s="105">
        <v>0</v>
      </c>
      <c r="D36" s="105">
        <v>0</v>
      </c>
      <c r="E36" s="106"/>
      <c r="F36" s="30"/>
      <c r="G36" s="105"/>
      <c r="H36" s="107">
        <f t="shared" si="1"/>
        <v>0</v>
      </c>
      <c r="I36" s="127"/>
      <c r="J36" s="105">
        <f>SUM(K36:M36)</f>
        <v>0</v>
      </c>
      <c r="K36" s="105"/>
      <c r="L36" s="105"/>
      <c r="M36" s="105"/>
      <c r="N36" s="109">
        <f t="shared" si="11"/>
        <v>0</v>
      </c>
      <c r="O36" s="130"/>
      <c r="P36" s="131"/>
    </row>
    <row r="37" s="86" customFormat="1" ht="26.1" customHeight="1" spans="1:17">
      <c r="A37" s="115" t="s">
        <v>1540</v>
      </c>
      <c r="B37" s="107">
        <f>B38</f>
        <v>102</v>
      </c>
      <c r="C37" s="107">
        <f>C38</f>
        <v>27741</v>
      </c>
      <c r="D37" s="107">
        <f>D38</f>
        <v>27741</v>
      </c>
      <c r="E37" s="106">
        <f t="shared" ref="E37:E39" si="14">D37/B37</f>
        <v>271.970588235294</v>
      </c>
      <c r="F37" s="30">
        <f t="shared" ref="F37:F49" si="15">D37/C37</f>
        <v>1</v>
      </c>
      <c r="G37" s="107">
        <f>G38+G39</f>
        <v>13745</v>
      </c>
      <c r="H37" s="107">
        <f t="shared" ref="H37:H49" si="16">D37-G37</f>
        <v>13996</v>
      </c>
      <c r="I37" s="127">
        <f t="shared" ref="I37:I43" si="17">H37/G37</f>
        <v>1.01826118588578</v>
      </c>
      <c r="J37" s="107">
        <f>J38+J39</f>
        <v>264.14</v>
      </c>
      <c r="K37" s="107">
        <f>K38+K39</f>
        <v>80</v>
      </c>
      <c r="L37" s="107">
        <f>L38+L39</f>
        <v>164.06</v>
      </c>
      <c r="M37" s="107">
        <f>M38+M39</f>
        <v>20.08</v>
      </c>
      <c r="N37" s="109">
        <f t="shared" si="11"/>
        <v>-27476.86</v>
      </c>
      <c r="O37" s="130">
        <f t="shared" ref="O37:O40" si="18">N37/D37</f>
        <v>-0.990478353339822</v>
      </c>
      <c r="P37" s="131"/>
      <c r="Q37" s="87"/>
    </row>
    <row r="38" s="87" customFormat="1" ht="26.1" customHeight="1" spans="1:16">
      <c r="A38" s="116" t="s">
        <v>1541</v>
      </c>
      <c r="B38" s="109">
        <v>102</v>
      </c>
      <c r="C38" s="109">
        <v>27741</v>
      </c>
      <c r="D38" s="109">
        <v>27741</v>
      </c>
      <c r="E38" s="106">
        <f t="shared" si="14"/>
        <v>271.970588235294</v>
      </c>
      <c r="F38" s="30">
        <f t="shared" si="15"/>
        <v>1</v>
      </c>
      <c r="G38" s="109">
        <v>13300</v>
      </c>
      <c r="H38" s="107">
        <f t="shared" si="16"/>
        <v>14441</v>
      </c>
      <c r="I38" s="127">
        <f t="shared" si="17"/>
        <v>1.08578947368421</v>
      </c>
      <c r="J38" s="105">
        <f>SUM(K38:M38)</f>
        <v>80</v>
      </c>
      <c r="K38" s="109">
        <v>80</v>
      </c>
      <c r="L38" s="109"/>
      <c r="M38" s="109"/>
      <c r="N38" s="109">
        <f t="shared" si="11"/>
        <v>-27661</v>
      </c>
      <c r="O38" s="130">
        <f t="shared" si="18"/>
        <v>-0.997116181824736</v>
      </c>
      <c r="P38" s="131"/>
    </row>
    <row r="39" s="87" customFormat="1" ht="26.1" customHeight="1" spans="1:16">
      <c r="A39" s="116" t="s">
        <v>1542</v>
      </c>
      <c r="B39" s="109">
        <f>SUM(B40:B44)</f>
        <v>434</v>
      </c>
      <c r="C39" s="109">
        <f>C40+C41+C42+C43+C44</f>
        <v>671</v>
      </c>
      <c r="D39" s="109">
        <f>D40+D41+D42+D43+D44</f>
        <v>405</v>
      </c>
      <c r="E39" s="106"/>
      <c r="F39" s="30">
        <f t="shared" si="15"/>
        <v>0.603576751117735</v>
      </c>
      <c r="G39" s="109">
        <v>445</v>
      </c>
      <c r="H39" s="107">
        <f t="shared" si="16"/>
        <v>-40</v>
      </c>
      <c r="I39" s="127">
        <f t="shared" si="17"/>
        <v>-0.0898876404494382</v>
      </c>
      <c r="J39" s="105">
        <f>SUM(J40:J44)</f>
        <v>184.14</v>
      </c>
      <c r="K39" s="105">
        <f>SUM(K40:K44)</f>
        <v>0</v>
      </c>
      <c r="L39" s="105">
        <f>SUM(L40:L44)</f>
        <v>164.06</v>
      </c>
      <c r="M39" s="105">
        <f>SUM(M40:M44)</f>
        <v>20.08</v>
      </c>
      <c r="N39" s="109">
        <f t="shared" si="11"/>
        <v>-220.86</v>
      </c>
      <c r="O39" s="130">
        <f t="shared" si="18"/>
        <v>-0.545333333333333</v>
      </c>
      <c r="P39" s="131"/>
    </row>
    <row r="40" s="87" customFormat="1" ht="31" customHeight="1" spans="1:16">
      <c r="A40" s="116" t="s">
        <v>1543</v>
      </c>
      <c r="B40" s="105">
        <v>73</v>
      </c>
      <c r="C40" s="105">
        <f>228+69</f>
        <v>297</v>
      </c>
      <c r="D40" s="105">
        <v>69</v>
      </c>
      <c r="E40" s="106"/>
      <c r="F40" s="30">
        <f t="shared" si="15"/>
        <v>0.232323232323232</v>
      </c>
      <c r="G40" s="105">
        <v>74</v>
      </c>
      <c r="H40" s="107">
        <f t="shared" si="16"/>
        <v>-5</v>
      </c>
      <c r="I40" s="127">
        <f t="shared" si="17"/>
        <v>-0.0675675675675676</v>
      </c>
      <c r="J40" s="105">
        <f t="shared" ref="J40:J49" si="19">SUM(K40:M40)</f>
        <v>16.26</v>
      </c>
      <c r="K40" s="105"/>
      <c r="L40" s="105">
        <v>13.26</v>
      </c>
      <c r="M40" s="105">
        <v>3</v>
      </c>
      <c r="N40" s="109">
        <f t="shared" si="11"/>
        <v>-52.74</v>
      </c>
      <c r="O40" s="130">
        <f t="shared" si="18"/>
        <v>-0.764347826086957</v>
      </c>
      <c r="P40" s="131"/>
    </row>
    <row r="41" s="87" customFormat="1" ht="31" customHeight="1" spans="1:16">
      <c r="A41" s="116" t="s">
        <v>1544</v>
      </c>
      <c r="B41" s="105">
        <v>10</v>
      </c>
      <c r="C41" s="105">
        <v>15</v>
      </c>
      <c r="D41" s="105"/>
      <c r="E41" s="106"/>
      <c r="F41" s="30">
        <f t="shared" si="15"/>
        <v>0</v>
      </c>
      <c r="G41" s="105">
        <v>20</v>
      </c>
      <c r="H41" s="107">
        <f t="shared" si="16"/>
        <v>-20</v>
      </c>
      <c r="I41" s="127">
        <f t="shared" si="17"/>
        <v>-1</v>
      </c>
      <c r="J41" s="105">
        <f t="shared" si="19"/>
        <v>0</v>
      </c>
      <c r="K41" s="105"/>
      <c r="L41" s="105"/>
      <c r="M41" s="105"/>
      <c r="N41" s="109"/>
      <c r="O41" s="130"/>
      <c r="P41" s="131"/>
    </row>
    <row r="42" s="87" customFormat="1" ht="31" customHeight="1" spans="1:16">
      <c r="A42" s="116" t="s">
        <v>1545</v>
      </c>
      <c r="B42" s="105">
        <v>100</v>
      </c>
      <c r="C42" s="105">
        <v>16</v>
      </c>
      <c r="D42" s="105"/>
      <c r="E42" s="106"/>
      <c r="F42" s="30">
        <f t="shared" si="15"/>
        <v>0</v>
      </c>
      <c r="G42" s="105">
        <v>100</v>
      </c>
      <c r="H42" s="107">
        <f t="shared" si="16"/>
        <v>-100</v>
      </c>
      <c r="I42" s="127">
        <f t="shared" si="17"/>
        <v>-1</v>
      </c>
      <c r="J42" s="105">
        <f t="shared" si="19"/>
        <v>17.08</v>
      </c>
      <c r="K42" s="105"/>
      <c r="L42" s="105"/>
      <c r="M42" s="105">
        <v>17.08</v>
      </c>
      <c r="N42" s="109">
        <f t="shared" ref="N42:N48" si="20">J42-D42</f>
        <v>17.08</v>
      </c>
      <c r="O42" s="130" t="e">
        <f t="shared" ref="O42:O48" si="21">N42/D42</f>
        <v>#DIV/0!</v>
      </c>
      <c r="P42" s="131"/>
    </row>
    <row r="43" s="87" customFormat="1" ht="31" customHeight="1" spans="1:16">
      <c r="A43" s="116" t="s">
        <v>1546</v>
      </c>
      <c r="B43" s="105">
        <v>168</v>
      </c>
      <c r="C43" s="105">
        <f>7+188</f>
        <v>195</v>
      </c>
      <c r="D43" s="105">
        <v>188</v>
      </c>
      <c r="E43" s="106"/>
      <c r="F43" s="30">
        <f t="shared" si="15"/>
        <v>0.964102564102564</v>
      </c>
      <c r="G43" s="105">
        <v>168</v>
      </c>
      <c r="H43" s="107">
        <f t="shared" si="16"/>
        <v>20</v>
      </c>
      <c r="I43" s="127">
        <f t="shared" si="17"/>
        <v>0.119047619047619</v>
      </c>
      <c r="J43" s="105">
        <f t="shared" si="19"/>
        <v>87.8</v>
      </c>
      <c r="K43" s="105"/>
      <c r="L43" s="105">
        <v>87.8</v>
      </c>
      <c r="M43" s="105"/>
      <c r="N43" s="109">
        <f t="shared" si="20"/>
        <v>-100.2</v>
      </c>
      <c r="O43" s="130">
        <f t="shared" si="21"/>
        <v>-0.532978723404255</v>
      </c>
      <c r="P43" s="131"/>
    </row>
    <row r="44" s="87" customFormat="1" ht="30" customHeight="1" spans="1:16">
      <c r="A44" s="116" t="s">
        <v>1547</v>
      </c>
      <c r="B44" s="105">
        <v>83</v>
      </c>
      <c r="C44" s="105">
        <v>148</v>
      </c>
      <c r="D44" s="105">
        <v>148</v>
      </c>
      <c r="E44" s="106"/>
      <c r="F44" s="30">
        <f t="shared" si="15"/>
        <v>1</v>
      </c>
      <c r="G44" s="105">
        <v>83</v>
      </c>
      <c r="H44" s="107">
        <f t="shared" si="16"/>
        <v>65</v>
      </c>
      <c r="I44" s="127">
        <f t="shared" ref="I44:I68" si="22">H44/G44</f>
        <v>0.783132530120482</v>
      </c>
      <c r="J44" s="105">
        <f t="shared" si="19"/>
        <v>63</v>
      </c>
      <c r="K44" s="105"/>
      <c r="L44" s="105">
        <v>63</v>
      </c>
      <c r="M44" s="105"/>
      <c r="N44" s="109">
        <f t="shared" si="20"/>
        <v>-85</v>
      </c>
      <c r="O44" s="130">
        <f t="shared" si="21"/>
        <v>-0.574324324324324</v>
      </c>
      <c r="P44" s="131"/>
    </row>
    <row r="45" s="86" customFormat="1" ht="21.95" customHeight="1" spans="1:17">
      <c r="A45" s="117" t="s">
        <v>1548</v>
      </c>
      <c r="B45" s="112">
        <f t="shared" ref="B45:G45" si="23">B46</f>
        <v>0</v>
      </c>
      <c r="C45" s="112">
        <f t="shared" si="23"/>
        <v>1225</v>
      </c>
      <c r="D45" s="112">
        <f t="shared" si="23"/>
        <v>616</v>
      </c>
      <c r="E45" s="106"/>
      <c r="F45" s="30">
        <f t="shared" si="15"/>
        <v>0.502857142857143</v>
      </c>
      <c r="G45" s="112">
        <f t="shared" si="23"/>
        <v>855</v>
      </c>
      <c r="H45" s="107">
        <f t="shared" si="16"/>
        <v>-239</v>
      </c>
      <c r="I45" s="127">
        <f t="shared" si="22"/>
        <v>-0.27953216374269</v>
      </c>
      <c r="J45" s="105">
        <f t="shared" si="19"/>
        <v>0</v>
      </c>
      <c r="K45" s="105">
        <f t="shared" ref="K45:M45" si="24">K46</f>
        <v>0</v>
      </c>
      <c r="L45" s="105">
        <f t="shared" si="24"/>
        <v>0</v>
      </c>
      <c r="M45" s="105">
        <f t="shared" si="24"/>
        <v>0</v>
      </c>
      <c r="N45" s="109">
        <f t="shared" si="20"/>
        <v>-616</v>
      </c>
      <c r="O45" s="130">
        <f t="shared" si="21"/>
        <v>-1</v>
      </c>
      <c r="P45" s="131"/>
      <c r="Q45" s="87"/>
    </row>
    <row r="46" s="87" customFormat="1" ht="29" customHeight="1" spans="1:16">
      <c r="A46" s="108" t="s">
        <v>1549</v>
      </c>
      <c r="B46" s="109"/>
      <c r="C46" s="109">
        <v>1225</v>
      </c>
      <c r="D46" s="109">
        <f>1225-609</f>
        <v>616</v>
      </c>
      <c r="E46" s="106"/>
      <c r="F46" s="30">
        <f t="shared" si="15"/>
        <v>0.502857142857143</v>
      </c>
      <c r="G46" s="109">
        <v>855</v>
      </c>
      <c r="H46" s="107">
        <f t="shared" si="16"/>
        <v>-239</v>
      </c>
      <c r="I46" s="127">
        <f t="shared" si="22"/>
        <v>-0.27953216374269</v>
      </c>
      <c r="J46" s="105">
        <f t="shared" si="19"/>
        <v>0</v>
      </c>
      <c r="K46" s="109"/>
      <c r="L46" s="109"/>
      <c r="M46" s="109"/>
      <c r="N46" s="109">
        <f t="shared" si="20"/>
        <v>-616</v>
      </c>
      <c r="O46" s="130">
        <f t="shared" si="21"/>
        <v>-1</v>
      </c>
      <c r="P46" s="131"/>
    </row>
    <row r="47" s="86" customFormat="1" ht="21.95" customHeight="1" spans="1:17">
      <c r="A47" s="117" t="s">
        <v>1550</v>
      </c>
      <c r="B47" s="118">
        <f t="shared" ref="B47:G47" si="25">B48</f>
        <v>0</v>
      </c>
      <c r="C47" s="118">
        <f t="shared" si="25"/>
        <v>40</v>
      </c>
      <c r="D47" s="118">
        <v>40</v>
      </c>
      <c r="E47" s="106"/>
      <c r="F47" s="30">
        <f t="shared" si="15"/>
        <v>1</v>
      </c>
      <c r="G47" s="118">
        <f t="shared" si="25"/>
        <v>38</v>
      </c>
      <c r="H47" s="107">
        <f t="shared" si="16"/>
        <v>2</v>
      </c>
      <c r="I47" s="127">
        <f t="shared" si="22"/>
        <v>0.0526315789473684</v>
      </c>
      <c r="J47" s="105">
        <f t="shared" si="19"/>
        <v>0</v>
      </c>
      <c r="K47" s="105">
        <f t="shared" ref="K47:M47" si="26">K48</f>
        <v>0</v>
      </c>
      <c r="L47" s="105">
        <f t="shared" si="26"/>
        <v>0</v>
      </c>
      <c r="M47" s="105">
        <f t="shared" si="26"/>
        <v>0</v>
      </c>
      <c r="N47" s="109">
        <f t="shared" si="20"/>
        <v>-40</v>
      </c>
      <c r="O47" s="130">
        <f t="shared" si="21"/>
        <v>-1</v>
      </c>
      <c r="P47" s="131"/>
      <c r="Q47" s="87"/>
    </row>
    <row r="48" s="87" customFormat="1" ht="30" customHeight="1" spans="1:16">
      <c r="A48" s="108" t="s">
        <v>1551</v>
      </c>
      <c r="B48" s="109"/>
      <c r="C48" s="109">
        <v>40</v>
      </c>
      <c r="D48" s="109">
        <v>40</v>
      </c>
      <c r="E48" s="106"/>
      <c r="F48" s="30">
        <f t="shared" si="15"/>
        <v>1</v>
      </c>
      <c r="G48" s="109">
        <v>38</v>
      </c>
      <c r="H48" s="107">
        <f t="shared" si="16"/>
        <v>2</v>
      </c>
      <c r="I48" s="127">
        <f t="shared" si="22"/>
        <v>0.0526315789473684</v>
      </c>
      <c r="J48" s="105">
        <f t="shared" si="19"/>
        <v>0</v>
      </c>
      <c r="K48" s="109"/>
      <c r="L48" s="109"/>
      <c r="M48" s="109"/>
      <c r="N48" s="109">
        <f t="shared" si="20"/>
        <v>-40</v>
      </c>
      <c r="O48" s="130">
        <f t="shared" si="21"/>
        <v>-1</v>
      </c>
      <c r="P48" s="131"/>
    </row>
    <row r="49" s="87" customFormat="1" ht="25" customHeight="1" spans="1:16">
      <c r="A49" s="117" t="s">
        <v>1552</v>
      </c>
      <c r="B49" s="109"/>
      <c r="C49" s="109"/>
      <c r="D49" s="109"/>
      <c r="E49" s="106"/>
      <c r="F49" s="30"/>
      <c r="G49" s="109">
        <v>11540</v>
      </c>
      <c r="H49" s="107"/>
      <c r="I49" s="127">
        <f t="shared" si="22"/>
        <v>0</v>
      </c>
      <c r="J49" s="105">
        <f t="shared" si="19"/>
        <v>0</v>
      </c>
      <c r="K49" s="109"/>
      <c r="L49" s="109"/>
      <c r="M49" s="109"/>
      <c r="N49" s="109"/>
      <c r="O49" s="130"/>
      <c r="P49" s="131"/>
    </row>
    <row r="50" s="87" customFormat="1" ht="21" customHeight="1" spans="1:16">
      <c r="A50" s="98" t="s">
        <v>1553</v>
      </c>
      <c r="B50" s="109">
        <f>SUM(B7,B14,B19:B19,B34,B37:B37,B45,B47,B39)</f>
        <v>34722</v>
      </c>
      <c r="C50" s="109">
        <f>SUM(C7,C14,C19:C19,C34,C37:C37,C45,C47,C39)</f>
        <v>51580</v>
      </c>
      <c r="D50" s="109">
        <f>SUM(D7,D14,D19:D19,D34,D37:D37,D45,D47,D39)</f>
        <v>50570</v>
      </c>
      <c r="E50" s="106">
        <f>D50/B50</f>
        <v>1.45642532112206</v>
      </c>
      <c r="F50" s="30">
        <f>D50/C50</f>
        <v>0.980418766963939</v>
      </c>
      <c r="G50" s="109">
        <f>SUM(G7,G14,G19:G19,G34,G37,G45,G47,G49)</f>
        <v>52672</v>
      </c>
      <c r="H50" s="107">
        <f t="shared" ref="H50:H67" si="27">D50-G50</f>
        <v>-2102</v>
      </c>
      <c r="I50" s="127">
        <f t="shared" si="22"/>
        <v>-0.0399073511543135</v>
      </c>
      <c r="J50" s="105">
        <f>SUM(J7,J14,J19:J19,J34,J37:J37,J45,J47)</f>
        <v>38477.46</v>
      </c>
      <c r="K50" s="105">
        <f>SUM(K7,K14,K19:K19,K34,K37:K37,K45,K47)</f>
        <v>25930</v>
      </c>
      <c r="L50" s="105">
        <f>SUM(L7,L14,L19:L19,L34,L37:L37,L45,L47)</f>
        <v>215.38</v>
      </c>
      <c r="M50" s="105">
        <f>SUM(M7,M14,M19:M19,M34,M37:M37,M45,M47)</f>
        <v>12332.08</v>
      </c>
      <c r="N50" s="109">
        <f t="shared" ref="N50:N68" si="28">J50-D50</f>
        <v>-12092.54</v>
      </c>
      <c r="O50" s="130">
        <f t="shared" ref="O50:O52" si="29">N50/D50</f>
        <v>-0.239124777536089</v>
      </c>
      <c r="P50" s="131"/>
    </row>
    <row r="51" s="87" customFormat="1" ht="21" customHeight="1" spans="1:16">
      <c r="A51" s="119" t="s">
        <v>1554</v>
      </c>
      <c r="B51" s="105">
        <f t="shared" ref="B51:G51" si="30">SUM(B52,B59)</f>
        <v>0</v>
      </c>
      <c r="C51" s="105">
        <f t="shared" si="30"/>
        <v>0</v>
      </c>
      <c r="D51" s="105">
        <f t="shared" si="30"/>
        <v>25332</v>
      </c>
      <c r="E51" s="106"/>
      <c r="F51" s="30"/>
      <c r="G51" s="105">
        <f t="shared" si="30"/>
        <v>18560</v>
      </c>
      <c r="H51" s="107">
        <f t="shared" si="27"/>
        <v>6772</v>
      </c>
      <c r="I51" s="127">
        <f t="shared" si="22"/>
        <v>0.364870689655172</v>
      </c>
      <c r="J51" s="105">
        <f t="shared" ref="J51:J59" si="31">SUM(K51:M51)</f>
        <v>0</v>
      </c>
      <c r="K51" s="105">
        <f t="shared" ref="K51:M51" si="32">SUM(K52,K59)</f>
        <v>0</v>
      </c>
      <c r="L51" s="105">
        <f t="shared" si="32"/>
        <v>0</v>
      </c>
      <c r="M51" s="105">
        <f t="shared" si="32"/>
        <v>0</v>
      </c>
      <c r="N51" s="109">
        <f t="shared" si="28"/>
        <v>-25332</v>
      </c>
      <c r="O51" s="130">
        <f t="shared" si="29"/>
        <v>-1</v>
      </c>
      <c r="P51" s="131"/>
    </row>
    <row r="52" s="87" customFormat="1" ht="21" customHeight="1" spans="1:16">
      <c r="A52" s="119" t="s">
        <v>1555</v>
      </c>
      <c r="B52" s="105">
        <f t="shared" ref="B52:G52" si="33">SUM(B53,B56:B58)</f>
        <v>0</v>
      </c>
      <c r="C52" s="105">
        <f t="shared" si="33"/>
        <v>0</v>
      </c>
      <c r="D52" s="105">
        <f t="shared" si="33"/>
        <v>25332</v>
      </c>
      <c r="E52" s="106"/>
      <c r="F52" s="30"/>
      <c r="G52" s="105">
        <f t="shared" si="33"/>
        <v>18560</v>
      </c>
      <c r="H52" s="107">
        <f t="shared" si="27"/>
        <v>6772</v>
      </c>
      <c r="I52" s="127">
        <f t="shared" si="22"/>
        <v>0.364870689655172</v>
      </c>
      <c r="J52" s="105">
        <f t="shared" si="31"/>
        <v>0</v>
      </c>
      <c r="K52" s="105">
        <f t="shared" ref="K52:M52" si="34">SUM(K53,K56:K58)</f>
        <v>0</v>
      </c>
      <c r="L52" s="105">
        <f t="shared" si="34"/>
        <v>0</v>
      </c>
      <c r="M52" s="105">
        <f t="shared" si="34"/>
        <v>0</v>
      </c>
      <c r="N52" s="109">
        <f t="shared" si="28"/>
        <v>-25332</v>
      </c>
      <c r="O52" s="130">
        <f t="shared" si="29"/>
        <v>-1</v>
      </c>
      <c r="P52" s="131"/>
    </row>
    <row r="53" s="87" customFormat="1" ht="21" customHeight="1" spans="1:16">
      <c r="A53" s="120" t="s">
        <v>1556</v>
      </c>
      <c r="B53" s="105"/>
      <c r="C53" s="105"/>
      <c r="D53" s="105"/>
      <c r="E53" s="106"/>
      <c r="F53" s="30"/>
      <c r="G53" s="105"/>
      <c r="H53" s="107">
        <f t="shared" si="27"/>
        <v>0</v>
      </c>
      <c r="I53" s="127"/>
      <c r="J53" s="105">
        <f t="shared" si="31"/>
        <v>0</v>
      </c>
      <c r="K53" s="105"/>
      <c r="L53" s="105"/>
      <c r="M53" s="105"/>
      <c r="N53" s="109">
        <f t="shared" si="28"/>
        <v>0</v>
      </c>
      <c r="O53" s="130"/>
      <c r="P53" s="131"/>
    </row>
    <row r="54" s="87" customFormat="1" ht="21" customHeight="1" spans="1:16">
      <c r="A54" s="120" t="s">
        <v>1557</v>
      </c>
      <c r="B54" s="105"/>
      <c r="C54" s="105"/>
      <c r="D54" s="105"/>
      <c r="E54" s="106"/>
      <c r="F54" s="30"/>
      <c r="G54" s="105"/>
      <c r="H54" s="107">
        <f t="shared" si="27"/>
        <v>0</v>
      </c>
      <c r="I54" s="127"/>
      <c r="J54" s="105">
        <f t="shared" si="31"/>
        <v>0</v>
      </c>
      <c r="K54" s="105"/>
      <c r="L54" s="105"/>
      <c r="M54" s="105"/>
      <c r="N54" s="109">
        <f t="shared" si="28"/>
        <v>0</v>
      </c>
      <c r="O54" s="130"/>
      <c r="P54" s="131"/>
    </row>
    <row r="55" s="87" customFormat="1" ht="21" customHeight="1" spans="1:16">
      <c r="A55" s="120" t="s">
        <v>1558</v>
      </c>
      <c r="B55" s="105"/>
      <c r="C55" s="105"/>
      <c r="D55" s="105"/>
      <c r="E55" s="106"/>
      <c r="F55" s="30"/>
      <c r="G55" s="105"/>
      <c r="H55" s="107">
        <f t="shared" si="27"/>
        <v>0</v>
      </c>
      <c r="I55" s="127"/>
      <c r="J55" s="105">
        <f t="shared" si="31"/>
        <v>0</v>
      </c>
      <c r="K55" s="105"/>
      <c r="L55" s="105"/>
      <c r="M55" s="105"/>
      <c r="N55" s="109">
        <f t="shared" si="28"/>
        <v>0</v>
      </c>
      <c r="O55" s="130"/>
      <c r="P55" s="131"/>
    </row>
    <row r="56" s="87" customFormat="1" ht="21" customHeight="1" spans="1:16">
      <c r="A56" s="120" t="s">
        <v>1559</v>
      </c>
      <c r="B56" s="105"/>
      <c r="C56" s="105"/>
      <c r="D56" s="105">
        <v>13000</v>
      </c>
      <c r="E56" s="106"/>
      <c r="F56" s="30"/>
      <c r="G56" s="105">
        <v>5269</v>
      </c>
      <c r="H56" s="107">
        <f t="shared" si="27"/>
        <v>7731</v>
      </c>
      <c r="I56" s="127">
        <f t="shared" si="22"/>
        <v>1.4672613399127</v>
      </c>
      <c r="J56" s="105">
        <f t="shared" si="31"/>
        <v>0</v>
      </c>
      <c r="K56" s="105"/>
      <c r="L56" s="105"/>
      <c r="M56" s="105"/>
      <c r="N56" s="109">
        <f t="shared" si="28"/>
        <v>-13000</v>
      </c>
      <c r="O56" s="130">
        <f t="shared" ref="O56:O68" si="35">N56/D56</f>
        <v>-1</v>
      </c>
      <c r="P56" s="131"/>
    </row>
    <row r="57" s="87" customFormat="1" ht="21" customHeight="1" spans="1:16">
      <c r="A57" s="120" t="s">
        <v>1560</v>
      </c>
      <c r="B57" s="105"/>
      <c r="C57" s="105"/>
      <c r="D57" s="105">
        <f>12312+20</f>
        <v>12332</v>
      </c>
      <c r="E57" s="106"/>
      <c r="F57" s="30"/>
      <c r="G57" s="105">
        <v>13291</v>
      </c>
      <c r="H57" s="107">
        <f t="shared" si="27"/>
        <v>-959</v>
      </c>
      <c r="I57" s="127">
        <f t="shared" si="22"/>
        <v>-0.0721540892333158</v>
      </c>
      <c r="J57" s="105">
        <f t="shared" si="31"/>
        <v>0</v>
      </c>
      <c r="K57" s="105"/>
      <c r="L57" s="105"/>
      <c r="M57" s="105"/>
      <c r="N57" s="109">
        <f t="shared" si="28"/>
        <v>-12332</v>
      </c>
      <c r="O57" s="130">
        <f t="shared" si="35"/>
        <v>-1</v>
      </c>
      <c r="P57" s="131"/>
    </row>
    <row r="58" s="87" customFormat="1" ht="21" customHeight="1" spans="1:16">
      <c r="A58" s="120" t="s">
        <v>1561</v>
      </c>
      <c r="B58" s="105"/>
      <c r="C58" s="105"/>
      <c r="D58" s="105"/>
      <c r="E58" s="106"/>
      <c r="F58" s="30"/>
      <c r="G58" s="105"/>
      <c r="H58" s="107">
        <f t="shared" si="27"/>
        <v>0</v>
      </c>
      <c r="I58" s="127"/>
      <c r="J58" s="105">
        <f t="shared" si="31"/>
        <v>0</v>
      </c>
      <c r="K58" s="105"/>
      <c r="L58" s="105"/>
      <c r="M58" s="105"/>
      <c r="N58" s="109">
        <f t="shared" si="28"/>
        <v>0</v>
      </c>
      <c r="O58" s="130"/>
      <c r="P58" s="131"/>
    </row>
    <row r="59" s="87" customFormat="1" ht="21" customHeight="1" spans="1:16">
      <c r="A59" s="119" t="s">
        <v>158</v>
      </c>
      <c r="B59" s="121"/>
      <c r="C59" s="105"/>
      <c r="D59" s="105"/>
      <c r="E59" s="106"/>
      <c r="F59" s="30"/>
      <c r="G59" s="105"/>
      <c r="H59" s="107">
        <f t="shared" si="27"/>
        <v>0</v>
      </c>
      <c r="I59" s="127"/>
      <c r="J59" s="105">
        <f t="shared" si="31"/>
        <v>0</v>
      </c>
      <c r="K59" s="105"/>
      <c r="L59" s="105"/>
      <c r="M59" s="105"/>
      <c r="N59" s="109">
        <f t="shared" si="28"/>
        <v>0</v>
      </c>
      <c r="O59" s="130"/>
      <c r="P59" s="131"/>
    </row>
    <row r="60" s="88" customFormat="1" ht="21" hidden="1" customHeight="1" spans="1:16">
      <c r="A60" s="120" t="s">
        <v>1562</v>
      </c>
      <c r="B60" s="105"/>
      <c r="C60" s="109"/>
      <c r="D60" s="109"/>
      <c r="E60" s="106" t="e">
        <f t="shared" ref="E60:E68" si="36">D60/B60</f>
        <v>#DIV/0!</v>
      </c>
      <c r="F60" s="30" t="e">
        <f t="shared" ref="F60:F68" si="37">D60/C60</f>
        <v>#DIV/0!</v>
      </c>
      <c r="G60" s="109"/>
      <c r="H60" s="107">
        <f t="shared" si="27"/>
        <v>0</v>
      </c>
      <c r="I60" s="127" t="e">
        <f t="shared" si="22"/>
        <v>#DIV/0!</v>
      </c>
      <c r="J60" s="105">
        <v>0</v>
      </c>
      <c r="K60" s="109"/>
      <c r="L60" s="109"/>
      <c r="M60" s="109"/>
      <c r="N60" s="109">
        <f t="shared" si="28"/>
        <v>0</v>
      </c>
      <c r="O60" s="130" t="e">
        <f t="shared" si="35"/>
        <v>#DIV/0!</v>
      </c>
      <c r="P60" s="132"/>
    </row>
    <row r="61" s="88" customFormat="1" ht="21" hidden="1" customHeight="1" spans="1:16">
      <c r="A61" s="108" t="s">
        <v>1563</v>
      </c>
      <c r="B61" s="105"/>
      <c r="C61" s="105"/>
      <c r="D61" s="105"/>
      <c r="E61" s="106" t="e">
        <f t="shared" si="36"/>
        <v>#DIV/0!</v>
      </c>
      <c r="F61" s="30" t="e">
        <f t="shared" si="37"/>
        <v>#DIV/0!</v>
      </c>
      <c r="G61" s="105"/>
      <c r="H61" s="107">
        <f t="shared" si="27"/>
        <v>0</v>
      </c>
      <c r="I61" s="127" t="e">
        <f t="shared" si="22"/>
        <v>#DIV/0!</v>
      </c>
      <c r="J61" s="105">
        <v>0</v>
      </c>
      <c r="K61" s="105"/>
      <c r="L61" s="105"/>
      <c r="M61" s="105"/>
      <c r="N61" s="109">
        <f t="shared" si="28"/>
        <v>0</v>
      </c>
      <c r="O61" s="130" t="e">
        <f t="shared" si="35"/>
        <v>#DIV/0!</v>
      </c>
      <c r="P61" s="132"/>
    </row>
    <row r="62" s="88" customFormat="1" ht="21" hidden="1" customHeight="1" spans="1:16">
      <c r="A62" s="108" t="s">
        <v>1564</v>
      </c>
      <c r="B62" s="105"/>
      <c r="C62" s="105"/>
      <c r="D62" s="105"/>
      <c r="E62" s="106" t="e">
        <f t="shared" si="36"/>
        <v>#DIV/0!</v>
      </c>
      <c r="F62" s="30" t="e">
        <f t="shared" si="37"/>
        <v>#DIV/0!</v>
      </c>
      <c r="G62" s="105"/>
      <c r="H62" s="107">
        <f t="shared" si="27"/>
        <v>0</v>
      </c>
      <c r="I62" s="127" t="e">
        <f t="shared" si="22"/>
        <v>#DIV/0!</v>
      </c>
      <c r="J62" s="105">
        <v>0</v>
      </c>
      <c r="K62" s="105"/>
      <c r="L62" s="105"/>
      <c r="M62" s="105"/>
      <c r="N62" s="109">
        <f t="shared" si="28"/>
        <v>0</v>
      </c>
      <c r="O62" s="130" t="e">
        <f t="shared" si="35"/>
        <v>#DIV/0!</v>
      </c>
      <c r="P62" s="132"/>
    </row>
    <row r="63" s="88" customFormat="1" ht="21" hidden="1" customHeight="1" spans="1:16">
      <c r="A63" s="113" t="s">
        <v>1565</v>
      </c>
      <c r="B63" s="105"/>
      <c r="C63" s="105"/>
      <c r="D63" s="105"/>
      <c r="E63" s="106" t="e">
        <f t="shared" si="36"/>
        <v>#DIV/0!</v>
      </c>
      <c r="F63" s="30" t="e">
        <f t="shared" si="37"/>
        <v>#DIV/0!</v>
      </c>
      <c r="G63" s="105"/>
      <c r="H63" s="107">
        <f t="shared" si="27"/>
        <v>0</v>
      </c>
      <c r="I63" s="127" t="e">
        <f t="shared" si="22"/>
        <v>#DIV/0!</v>
      </c>
      <c r="J63" s="105">
        <v>0</v>
      </c>
      <c r="K63" s="105"/>
      <c r="L63" s="105"/>
      <c r="M63" s="105"/>
      <c r="N63" s="109">
        <f t="shared" si="28"/>
        <v>0</v>
      </c>
      <c r="O63" s="130" t="e">
        <f t="shared" si="35"/>
        <v>#DIV/0!</v>
      </c>
      <c r="P63" s="132"/>
    </row>
    <row r="64" s="88" customFormat="1" ht="21" hidden="1" customHeight="1" spans="1:16">
      <c r="A64" s="113" t="s">
        <v>1566</v>
      </c>
      <c r="B64" s="105"/>
      <c r="C64" s="105"/>
      <c r="D64" s="105"/>
      <c r="E64" s="106" t="e">
        <f t="shared" si="36"/>
        <v>#DIV/0!</v>
      </c>
      <c r="F64" s="30" t="e">
        <f t="shared" si="37"/>
        <v>#DIV/0!</v>
      </c>
      <c r="G64" s="105"/>
      <c r="H64" s="107">
        <f t="shared" si="27"/>
        <v>0</v>
      </c>
      <c r="I64" s="127" t="e">
        <f t="shared" si="22"/>
        <v>#DIV/0!</v>
      </c>
      <c r="J64" s="105">
        <v>0</v>
      </c>
      <c r="K64" s="105"/>
      <c r="L64" s="105"/>
      <c r="M64" s="105"/>
      <c r="N64" s="109">
        <f t="shared" si="28"/>
        <v>0</v>
      </c>
      <c r="O64" s="130" t="e">
        <f t="shared" si="35"/>
        <v>#DIV/0!</v>
      </c>
      <c r="P64" s="132"/>
    </row>
    <row r="65" s="88" customFormat="1" ht="21" hidden="1" customHeight="1" spans="1:16">
      <c r="A65" s="113" t="s">
        <v>1567</v>
      </c>
      <c r="B65" s="105"/>
      <c r="C65" s="105"/>
      <c r="D65" s="105"/>
      <c r="E65" s="106" t="e">
        <f t="shared" si="36"/>
        <v>#DIV/0!</v>
      </c>
      <c r="F65" s="30" t="e">
        <f t="shared" si="37"/>
        <v>#DIV/0!</v>
      </c>
      <c r="G65" s="105"/>
      <c r="H65" s="107">
        <f t="shared" si="27"/>
        <v>0</v>
      </c>
      <c r="I65" s="127" t="e">
        <f t="shared" si="22"/>
        <v>#DIV/0!</v>
      </c>
      <c r="J65" s="105">
        <v>0</v>
      </c>
      <c r="K65" s="105"/>
      <c r="L65" s="105"/>
      <c r="M65" s="105"/>
      <c r="N65" s="109">
        <f t="shared" si="28"/>
        <v>0</v>
      </c>
      <c r="O65" s="130" t="e">
        <f t="shared" si="35"/>
        <v>#DIV/0!</v>
      </c>
      <c r="P65" s="132"/>
    </row>
    <row r="66" s="88" customFormat="1" ht="21" hidden="1" customHeight="1" spans="1:16">
      <c r="A66" s="113" t="s">
        <v>1568</v>
      </c>
      <c r="B66" s="105"/>
      <c r="C66" s="105"/>
      <c r="D66" s="105"/>
      <c r="E66" s="106" t="e">
        <f t="shared" si="36"/>
        <v>#DIV/0!</v>
      </c>
      <c r="F66" s="30" t="e">
        <f t="shared" si="37"/>
        <v>#DIV/0!</v>
      </c>
      <c r="G66" s="105"/>
      <c r="H66" s="107">
        <f t="shared" si="27"/>
        <v>0</v>
      </c>
      <c r="I66" s="127" t="e">
        <f t="shared" si="22"/>
        <v>#DIV/0!</v>
      </c>
      <c r="J66" s="105">
        <v>0</v>
      </c>
      <c r="K66" s="105"/>
      <c r="L66" s="105"/>
      <c r="M66" s="105"/>
      <c r="N66" s="109">
        <f t="shared" si="28"/>
        <v>0</v>
      </c>
      <c r="O66" s="130" t="e">
        <f t="shared" si="35"/>
        <v>#DIV/0!</v>
      </c>
      <c r="P66" s="132"/>
    </row>
    <row r="67" s="88" customFormat="1" ht="21" hidden="1" customHeight="1" spans="1:16">
      <c r="A67" s="120"/>
      <c r="B67" s="105"/>
      <c r="C67" s="105"/>
      <c r="D67" s="105"/>
      <c r="E67" s="106" t="e">
        <f t="shared" si="36"/>
        <v>#DIV/0!</v>
      </c>
      <c r="F67" s="30" t="e">
        <f t="shared" si="37"/>
        <v>#DIV/0!</v>
      </c>
      <c r="G67" s="105"/>
      <c r="H67" s="107">
        <f t="shared" si="27"/>
        <v>0</v>
      </c>
      <c r="I67" s="127" t="e">
        <f t="shared" si="22"/>
        <v>#DIV/0!</v>
      </c>
      <c r="J67" s="105">
        <v>0</v>
      </c>
      <c r="K67" s="105"/>
      <c r="L67" s="105"/>
      <c r="M67" s="105"/>
      <c r="N67" s="109">
        <f t="shared" si="28"/>
        <v>0</v>
      </c>
      <c r="O67" s="130" t="e">
        <f t="shared" si="35"/>
        <v>#DIV/0!</v>
      </c>
      <c r="P67" s="132"/>
    </row>
    <row r="68" s="89" customFormat="1" ht="21" customHeight="1" spans="1:17">
      <c r="A68" s="133" t="s">
        <v>162</v>
      </c>
      <c r="B68" s="105">
        <f>SUM(B50:B51)</f>
        <v>34722</v>
      </c>
      <c r="C68" s="105">
        <f>SUM(C50:C51)</f>
        <v>51580</v>
      </c>
      <c r="D68" s="105">
        <f>SUM(D50:D51)</f>
        <v>75902</v>
      </c>
      <c r="E68" s="106">
        <f t="shared" si="36"/>
        <v>2.18599159034618</v>
      </c>
      <c r="F68" s="30">
        <f t="shared" si="37"/>
        <v>1.47153935633967</v>
      </c>
      <c r="G68" s="105">
        <f>SUM(G50:G51)</f>
        <v>71232</v>
      </c>
      <c r="H68" s="105">
        <f>SUM(H50:H51)</f>
        <v>4670</v>
      </c>
      <c r="I68" s="127">
        <f t="shared" si="22"/>
        <v>0.0655604222821204</v>
      </c>
      <c r="J68" s="105">
        <f>SUM(J50:J51)</f>
        <v>38477.46</v>
      </c>
      <c r="K68" s="105">
        <f>SUM(K50:K51)</f>
        <v>25930</v>
      </c>
      <c r="L68" s="105">
        <f>SUM(L50:L51)</f>
        <v>215.38</v>
      </c>
      <c r="M68" s="105">
        <f>SUM(M50:M51)</f>
        <v>12332.08</v>
      </c>
      <c r="N68" s="109">
        <f t="shared" si="28"/>
        <v>-37424.54</v>
      </c>
      <c r="O68" s="130">
        <f t="shared" si="35"/>
        <v>-0.493063950884035</v>
      </c>
      <c r="P68" s="132"/>
      <c r="Q68" s="88"/>
    </row>
    <row r="69" s="85" customFormat="1" ht="15.6" spans="1:16">
      <c r="A69" s="134"/>
      <c r="B69" s="135"/>
      <c r="C69" s="135"/>
      <c r="D69" s="135"/>
      <c r="E69" s="135"/>
      <c r="F69" s="135"/>
      <c r="G69" s="135"/>
      <c r="H69" s="136"/>
      <c r="I69" s="139"/>
      <c r="J69" s="135"/>
      <c r="K69" s="135"/>
      <c r="L69" s="135"/>
      <c r="M69" s="135"/>
      <c r="N69" s="136"/>
      <c r="O69" s="136"/>
      <c r="P69" s="140"/>
    </row>
    <row r="70" s="85" customFormat="1" ht="15.6" spans="1:16">
      <c r="A70" s="95"/>
      <c r="B70" s="137"/>
      <c r="C70" s="137"/>
      <c r="D70" s="137"/>
      <c r="E70" s="137"/>
      <c r="F70" s="137"/>
      <c r="G70" s="137"/>
      <c r="H70" s="137"/>
      <c r="I70" s="141"/>
      <c r="J70" s="137"/>
      <c r="K70" s="137"/>
      <c r="L70" s="137"/>
      <c r="M70" s="137"/>
      <c r="N70" s="137"/>
      <c r="O70" s="137"/>
      <c r="P70" s="140"/>
    </row>
    <row r="71" s="85" customFormat="1" ht="15.6" spans="1:16">
      <c r="A71" s="95"/>
      <c r="B71" s="137"/>
      <c r="C71" s="137"/>
      <c r="D71" s="137"/>
      <c r="E71" s="137"/>
      <c r="F71" s="137"/>
      <c r="G71" s="137"/>
      <c r="H71" s="137"/>
      <c r="I71" s="141"/>
      <c r="J71" s="137"/>
      <c r="K71" s="137"/>
      <c r="L71" s="137"/>
      <c r="M71" s="137"/>
      <c r="N71" s="137"/>
      <c r="O71" s="137"/>
      <c r="P71" s="140"/>
    </row>
    <row r="72" s="85" customFormat="1" ht="15.6" spans="1:15">
      <c r="A72" s="95"/>
      <c r="B72" s="96"/>
      <c r="C72" s="96"/>
      <c r="D72" s="96"/>
      <c r="E72" s="97"/>
      <c r="F72" s="97"/>
      <c r="G72" s="96"/>
      <c r="H72" s="96"/>
      <c r="I72" s="122"/>
      <c r="J72" s="96"/>
      <c r="K72" s="96"/>
      <c r="L72" s="96"/>
      <c r="M72" s="96"/>
      <c r="N72" s="142"/>
      <c r="O72" s="97"/>
    </row>
    <row r="73" s="36" customFormat="1" ht="15.6" spans="4:9">
      <c r="D73" s="138"/>
      <c r="I73" s="34"/>
    </row>
    <row r="74" s="36" customFormat="1" ht="15.6" spans="4:9">
      <c r="D74" s="138"/>
      <c r="I74" s="34"/>
    </row>
    <row r="75" s="36" customFormat="1" ht="15.6" spans="4:9">
      <c r="D75" s="138"/>
      <c r="I75" s="34"/>
    </row>
    <row r="76" s="36" customFormat="1" ht="15.6" spans="4:9">
      <c r="D76" s="138"/>
      <c r="I76" s="34"/>
    </row>
    <row r="77" s="36" customFormat="1" ht="15.6" spans="4:9">
      <c r="D77" s="138"/>
      <c r="I77" s="34"/>
    </row>
    <row r="78" s="36" customFormat="1" ht="15.6" spans="4:9">
      <c r="D78" s="138"/>
      <c r="I78" s="34"/>
    </row>
    <row r="79" s="36" customFormat="1" ht="15.6" spans="4:9">
      <c r="D79" s="138"/>
      <c r="I79" s="34"/>
    </row>
    <row r="80" s="36" customFormat="1" ht="15.6" spans="4:9">
      <c r="D80" s="138"/>
      <c r="I80" s="34"/>
    </row>
    <row r="81" s="36" customFormat="1" ht="15.6" spans="4:9">
      <c r="D81" s="138"/>
      <c r="I81" s="34"/>
    </row>
    <row r="82" s="36" customFormat="1" ht="15.6" spans="4:9">
      <c r="D82" s="138"/>
      <c r="I82" s="34"/>
    </row>
    <row r="83" s="36" customFormat="1" ht="15.6" spans="4:9">
      <c r="D83" s="138"/>
      <c r="I83" s="34"/>
    </row>
    <row r="84" s="36" customFormat="1" ht="15.6" spans="4:9">
      <c r="D84" s="138"/>
      <c r="I84" s="34"/>
    </row>
    <row r="85" s="36" customFormat="1" ht="15.6" spans="4:9">
      <c r="D85" s="138"/>
      <c r="I85" s="34"/>
    </row>
    <row r="86" s="36" customFormat="1" ht="15.6" spans="4:9">
      <c r="D86" s="138"/>
      <c r="I86" s="34"/>
    </row>
    <row r="87" s="36" customFormat="1" ht="15.6" spans="4:9">
      <c r="D87" s="138"/>
      <c r="I87" s="34"/>
    </row>
    <row r="88" s="36" customFormat="1" ht="15.6" spans="4:9">
      <c r="D88" s="138"/>
      <c r="I88" s="34"/>
    </row>
    <row r="89" s="36" customFormat="1" ht="15.6" spans="4:9">
      <c r="D89" s="138"/>
      <c r="I89" s="34"/>
    </row>
    <row r="90" s="36" customFormat="1" ht="15.6" spans="4:9">
      <c r="D90" s="138"/>
      <c r="I90" s="34"/>
    </row>
    <row r="91" s="36" customFormat="1" ht="15.6" spans="4:9">
      <c r="D91" s="138"/>
      <c r="I91" s="34"/>
    </row>
    <row r="92" s="36" customFormat="1" ht="15.6" spans="4:9">
      <c r="D92" s="138"/>
      <c r="I92" s="34"/>
    </row>
    <row r="93" s="36" customFormat="1" ht="15.6" spans="4:9">
      <c r="D93" s="138"/>
      <c r="I93" s="34"/>
    </row>
    <row r="94" s="36" customFormat="1" ht="15.6" spans="4:9">
      <c r="D94" s="138"/>
      <c r="I94" s="34"/>
    </row>
    <row r="95" s="36" customFormat="1" ht="15.6" spans="4:9">
      <c r="D95" s="138"/>
      <c r="I95" s="34"/>
    </row>
    <row r="96" s="36" customFormat="1" ht="15.6" spans="4:9">
      <c r="D96" s="138"/>
      <c r="I96" s="34"/>
    </row>
    <row r="97" s="36" customFormat="1" ht="15.6" spans="4:9">
      <c r="D97" s="138"/>
      <c r="I97" s="34"/>
    </row>
    <row r="98" s="36" customFormat="1" ht="15.6" spans="4:9">
      <c r="D98" s="138"/>
      <c r="I98" s="34"/>
    </row>
    <row r="99" s="36" customFormat="1" ht="15.6" spans="4:9">
      <c r="D99" s="138"/>
      <c r="I99" s="34"/>
    </row>
    <row r="100" s="36" customFormat="1" ht="15.6" spans="4:9">
      <c r="D100" s="138"/>
      <c r="I100" s="34"/>
    </row>
    <row r="101" s="36" customFormat="1" ht="15.6" spans="4:9">
      <c r="D101" s="138"/>
      <c r="I101" s="34"/>
    </row>
    <row r="102" s="36" customFormat="1" ht="15.6" spans="4:9">
      <c r="D102" s="138"/>
      <c r="I102" s="34"/>
    </row>
    <row r="103" s="36" customFormat="1" ht="15.6" spans="4:9">
      <c r="D103" s="138"/>
      <c r="I103" s="34"/>
    </row>
    <row r="104" s="36" customFormat="1" ht="15.6" spans="4:9">
      <c r="D104" s="138"/>
      <c r="I104" s="34"/>
    </row>
    <row r="105" s="36" customFormat="1" ht="15.6" spans="4:9">
      <c r="D105" s="138"/>
      <c r="I105" s="34"/>
    </row>
    <row r="106" s="36" customFormat="1" ht="15.6" spans="4:9">
      <c r="D106" s="138"/>
      <c r="I106" s="34"/>
    </row>
    <row r="107" s="36" customFormat="1" ht="15.6" spans="4:9">
      <c r="D107" s="138"/>
      <c r="I107" s="34"/>
    </row>
    <row r="108" s="36" customFormat="1" ht="15.6" spans="4:9">
      <c r="D108" s="138"/>
      <c r="I108" s="34"/>
    </row>
    <row r="109" s="36" customFormat="1" ht="15.6" spans="4:9">
      <c r="D109" s="138"/>
      <c r="I109" s="34"/>
    </row>
    <row r="110" s="36" customFormat="1" ht="15.6" spans="4:9">
      <c r="D110" s="138"/>
      <c r="I110" s="34"/>
    </row>
    <row r="111" s="36" customFormat="1" ht="15.6" spans="4:9">
      <c r="D111" s="138"/>
      <c r="I111" s="34"/>
    </row>
    <row r="112" s="36" customFormat="1" ht="15.6" spans="4:9">
      <c r="D112" s="138"/>
      <c r="I112" s="34"/>
    </row>
    <row r="113" s="36" customFormat="1" ht="15.6" spans="4:9">
      <c r="D113" s="138"/>
      <c r="I113" s="34"/>
    </row>
    <row r="114" s="36" customFormat="1" ht="15.6" spans="4:9">
      <c r="D114" s="138"/>
      <c r="I114" s="34"/>
    </row>
    <row r="115" s="36" customFormat="1" ht="15.6" spans="4:9">
      <c r="D115" s="138"/>
      <c r="I115" s="34"/>
    </row>
    <row r="116" s="36" customFormat="1" ht="15.6" spans="4:9">
      <c r="D116" s="138"/>
      <c r="I116" s="34"/>
    </row>
    <row r="117" s="36" customFormat="1" ht="15.6" spans="4:9">
      <c r="D117" s="138"/>
      <c r="I117" s="34"/>
    </row>
    <row r="118" s="36" customFormat="1" ht="15.6" spans="4:9">
      <c r="D118" s="138"/>
      <c r="I118" s="34"/>
    </row>
    <row r="119" s="36" customFormat="1" ht="15.6" spans="4:9">
      <c r="D119" s="138"/>
      <c r="I119" s="34"/>
    </row>
    <row r="120" s="36" customFormat="1" ht="15.6" spans="4:9">
      <c r="D120" s="138"/>
      <c r="I120" s="34"/>
    </row>
    <row r="121" s="36" customFormat="1" ht="15.6" spans="4:9">
      <c r="D121" s="138"/>
      <c r="I121" s="34"/>
    </row>
    <row r="122" s="36" customFormat="1" ht="15.6" spans="4:9">
      <c r="D122" s="138"/>
      <c r="I122" s="34"/>
    </row>
    <row r="123" s="36" customFormat="1" ht="15.6" spans="4:9">
      <c r="D123" s="138"/>
      <c r="I123" s="34"/>
    </row>
    <row r="124" s="36" customFormat="1" ht="15.6" spans="4:9">
      <c r="D124" s="138"/>
      <c r="I124" s="34"/>
    </row>
    <row r="125" s="36" customFormat="1" ht="15.6" spans="4:9">
      <c r="D125" s="138"/>
      <c r="I125" s="34"/>
    </row>
    <row r="126" s="36" customFormat="1" ht="15.6" spans="4:9">
      <c r="D126" s="138"/>
      <c r="I126" s="34"/>
    </row>
    <row r="127" s="36" customFormat="1" ht="15.6" spans="4:9">
      <c r="D127" s="138"/>
      <c r="I127" s="34"/>
    </row>
    <row r="128" s="36" customFormat="1" ht="15.6" spans="4:9">
      <c r="D128" s="138"/>
      <c r="I128" s="34"/>
    </row>
    <row r="129" s="36" customFormat="1" ht="15.6" spans="4:9">
      <c r="D129" s="138"/>
      <c r="I129" s="34"/>
    </row>
    <row r="130" s="36" customFormat="1" ht="15.6" spans="4:9">
      <c r="D130" s="138"/>
      <c r="I130" s="34"/>
    </row>
    <row r="131" s="36" customFormat="1" ht="15.6" spans="4:9">
      <c r="D131" s="138"/>
      <c r="I131" s="34"/>
    </row>
    <row r="132" s="36" customFormat="1" ht="15.6" spans="4:9">
      <c r="D132" s="138"/>
      <c r="I132" s="34"/>
    </row>
    <row r="133" s="36" customFormat="1" ht="15.6" spans="4:9">
      <c r="D133" s="138"/>
      <c r="I133" s="34"/>
    </row>
    <row r="134" s="36" customFormat="1" ht="15.6" spans="4:9">
      <c r="D134" s="138"/>
      <c r="I134" s="34"/>
    </row>
    <row r="135" s="36" customFormat="1" ht="15.6" spans="4:9">
      <c r="D135" s="138"/>
      <c r="I135" s="34"/>
    </row>
    <row r="136" s="36" customFormat="1" ht="15.6" spans="4:9">
      <c r="D136" s="138"/>
      <c r="I136" s="34"/>
    </row>
    <row r="137" s="36" customFormat="1" ht="15.6" spans="4:9">
      <c r="D137" s="138"/>
      <c r="I137" s="34"/>
    </row>
    <row r="138" s="36" customFormat="1" ht="15.6" spans="4:9">
      <c r="D138" s="138"/>
      <c r="I138" s="34"/>
    </row>
    <row r="139" s="36" customFormat="1" ht="15.6" spans="4:9">
      <c r="D139" s="138"/>
      <c r="I139" s="34"/>
    </row>
    <row r="140" s="36" customFormat="1" ht="15.6" spans="4:9">
      <c r="D140" s="138"/>
      <c r="I140" s="34"/>
    </row>
    <row r="141" s="36" customFormat="1" ht="15.6" spans="4:9">
      <c r="D141" s="138"/>
      <c r="I141" s="34"/>
    </row>
    <row r="142" s="36" customFormat="1" ht="15.6" spans="4:9">
      <c r="D142" s="138"/>
      <c r="I142" s="34"/>
    </row>
    <row r="143" s="36" customFormat="1" ht="15.6" spans="4:9">
      <c r="D143" s="138"/>
      <c r="I143" s="34"/>
    </row>
    <row r="144" s="36" customFormat="1" ht="15.6" spans="4:9">
      <c r="D144" s="138"/>
      <c r="I144" s="34"/>
    </row>
    <row r="145" s="36" customFormat="1" ht="15.6" spans="4:9">
      <c r="D145" s="138"/>
      <c r="I145" s="34"/>
    </row>
    <row r="146" s="36" customFormat="1" ht="15.6" spans="4:9">
      <c r="D146" s="138"/>
      <c r="I146" s="34"/>
    </row>
    <row r="147" s="36" customFormat="1" ht="15.6" spans="4:9">
      <c r="D147" s="138"/>
      <c r="I147" s="34"/>
    </row>
    <row r="148" s="36" customFormat="1" ht="15.6" spans="4:9">
      <c r="D148" s="138"/>
      <c r="I148" s="34"/>
    </row>
    <row r="149" s="36" customFormat="1" ht="15.6" spans="4:9">
      <c r="D149" s="138"/>
      <c r="I149" s="34"/>
    </row>
    <row r="150" s="36" customFormat="1" ht="15.6" spans="4:9">
      <c r="D150" s="138"/>
      <c r="I150" s="34"/>
    </row>
    <row r="151" s="36" customFormat="1" ht="15.6" spans="4:9">
      <c r="D151" s="138"/>
      <c r="I151" s="34"/>
    </row>
    <row r="152" s="36" customFormat="1" ht="15.6" spans="4:9">
      <c r="D152" s="138"/>
      <c r="I152" s="34"/>
    </row>
    <row r="153" s="36" customFormat="1" ht="15.6" spans="4:9">
      <c r="D153" s="138"/>
      <c r="I153" s="34"/>
    </row>
    <row r="154" s="36" customFormat="1" ht="15.6" spans="4:9">
      <c r="D154" s="138"/>
      <c r="I154" s="34"/>
    </row>
    <row r="155" s="36" customFormat="1" ht="15.6" spans="4:9">
      <c r="D155" s="138"/>
      <c r="I155" s="34"/>
    </row>
    <row r="156" s="36" customFormat="1" ht="15.6" spans="4:9">
      <c r="D156" s="138"/>
      <c r="I156" s="34"/>
    </row>
    <row r="157" s="36" customFormat="1" ht="15.6" spans="4:9">
      <c r="D157" s="138"/>
      <c r="I157" s="34"/>
    </row>
    <row r="158" s="36" customFormat="1" ht="15.6" spans="4:9">
      <c r="D158" s="138"/>
      <c r="I158" s="34"/>
    </row>
    <row r="159" s="36" customFormat="1" ht="15.6" spans="4:9">
      <c r="D159" s="138"/>
      <c r="I159" s="34"/>
    </row>
    <row r="160" s="36" customFormat="1" ht="15.6" spans="4:9">
      <c r="D160" s="138"/>
      <c r="I160" s="34"/>
    </row>
    <row r="161" s="36" customFormat="1" ht="15.6" spans="4:9">
      <c r="D161" s="138"/>
      <c r="I161" s="34"/>
    </row>
    <row r="162" s="36" customFormat="1" ht="15.6" spans="4:9">
      <c r="D162" s="138"/>
      <c r="I162" s="34"/>
    </row>
    <row r="163" s="36" customFormat="1" ht="15.6" spans="4:9">
      <c r="D163" s="138"/>
      <c r="I163" s="34"/>
    </row>
    <row r="164" s="36" customFormat="1" ht="15.6" spans="4:9">
      <c r="D164" s="138"/>
      <c r="I164" s="34"/>
    </row>
    <row r="165" s="36" customFormat="1" ht="15.6" spans="4:9">
      <c r="D165" s="138"/>
      <c r="I165" s="34"/>
    </row>
    <row r="166" s="36" customFormat="1" ht="15.6" spans="4:9">
      <c r="D166" s="138"/>
      <c r="I166" s="34"/>
    </row>
    <row r="167" s="36" customFormat="1" ht="15.6" spans="4:9">
      <c r="D167" s="138"/>
      <c r="I167" s="34"/>
    </row>
    <row r="168" s="36" customFormat="1" ht="15.6" spans="4:9">
      <c r="D168" s="138"/>
      <c r="I168" s="34"/>
    </row>
    <row r="169" s="36" customFormat="1" ht="15.6" spans="4:9">
      <c r="D169" s="138"/>
      <c r="I169" s="34"/>
    </row>
    <row r="170" s="36" customFormat="1" ht="15.6" spans="4:9">
      <c r="D170" s="138"/>
      <c r="I170" s="34"/>
    </row>
    <row r="171" s="36" customFormat="1" ht="15.6" spans="4:9">
      <c r="D171" s="138"/>
      <c r="I171" s="34"/>
    </row>
    <row r="172" s="36" customFormat="1" ht="15.6" spans="4:9">
      <c r="D172" s="138"/>
      <c r="I172" s="34"/>
    </row>
    <row r="173" s="36" customFormat="1" ht="15.6" spans="4:9">
      <c r="D173" s="138"/>
      <c r="I173" s="34"/>
    </row>
    <row r="174" s="36" customFormat="1" ht="15.6" spans="4:9">
      <c r="D174" s="138"/>
      <c r="I174" s="34"/>
    </row>
    <row r="175" s="36" customFormat="1" ht="15.6" spans="4:9">
      <c r="D175" s="138"/>
      <c r="I175" s="34"/>
    </row>
    <row r="176" s="36" customFormat="1" ht="15.6" spans="4:9">
      <c r="D176" s="138"/>
      <c r="I176" s="34"/>
    </row>
    <row r="177" s="36" customFormat="1" ht="15.6" spans="4:9">
      <c r="D177" s="138"/>
      <c r="I177" s="34"/>
    </row>
    <row r="178" s="36" customFormat="1" ht="15.6" spans="4:9">
      <c r="D178" s="138"/>
      <c r="I178" s="34"/>
    </row>
    <row r="179" s="36" customFormat="1" ht="15.6" spans="4:9">
      <c r="D179" s="138"/>
      <c r="I179" s="34"/>
    </row>
    <row r="180" s="36" customFormat="1" ht="15.6" spans="4:9">
      <c r="D180" s="138"/>
      <c r="I180" s="34"/>
    </row>
    <row r="181" s="36" customFormat="1" ht="15.6" spans="4:9">
      <c r="D181" s="138"/>
      <c r="I181" s="34"/>
    </row>
    <row r="182" s="36" customFormat="1" ht="15.6" spans="4:9">
      <c r="D182" s="138"/>
      <c r="I182" s="34"/>
    </row>
    <row r="183" s="36" customFormat="1" ht="15.6" spans="4:9">
      <c r="D183" s="138"/>
      <c r="I183" s="34"/>
    </row>
    <row r="184" s="36" customFormat="1" ht="15.6" spans="4:9">
      <c r="D184" s="138"/>
      <c r="I184" s="34"/>
    </row>
    <row r="185" s="36" customFormat="1" ht="15.6" spans="4:9">
      <c r="D185" s="138"/>
      <c r="I185" s="34"/>
    </row>
    <row r="186" s="36" customFormat="1" ht="15.6" spans="4:9">
      <c r="D186" s="138"/>
      <c r="I186" s="34"/>
    </row>
    <row r="187" s="36" customFormat="1" ht="15.6" spans="4:9">
      <c r="D187" s="138"/>
      <c r="I187" s="34"/>
    </row>
    <row r="188" s="36" customFormat="1" ht="15.6" spans="4:9">
      <c r="D188" s="138"/>
      <c r="I188" s="34"/>
    </row>
    <row r="189" s="36" customFormat="1" ht="15.6" spans="4:9">
      <c r="D189" s="138"/>
      <c r="I189" s="34"/>
    </row>
    <row r="190" s="36" customFormat="1" ht="15.6" spans="4:9">
      <c r="D190" s="138"/>
      <c r="I190" s="34"/>
    </row>
    <row r="191" s="36" customFormat="1" ht="15.6" spans="4:9">
      <c r="D191" s="138"/>
      <c r="I191" s="34"/>
    </row>
    <row r="192" s="36" customFormat="1" ht="15.6" spans="4:9">
      <c r="D192" s="138"/>
      <c r="I192" s="34"/>
    </row>
    <row r="193" s="36" customFormat="1" ht="15.6" spans="4:9">
      <c r="D193" s="138"/>
      <c r="I193" s="34"/>
    </row>
    <row r="194" s="36" customFormat="1" ht="15.6" spans="4:9">
      <c r="D194" s="138"/>
      <c r="I194" s="34"/>
    </row>
    <row r="195" s="36" customFormat="1" ht="15.6" spans="4:9">
      <c r="D195" s="138"/>
      <c r="I195" s="34"/>
    </row>
    <row r="196" s="36" customFormat="1" ht="15.6" spans="4:9">
      <c r="D196" s="138"/>
      <c r="I196" s="34"/>
    </row>
    <row r="197" s="36" customFormat="1" ht="15.6" spans="4:9">
      <c r="D197" s="138"/>
      <c r="I197" s="34"/>
    </row>
    <row r="198" s="36" customFormat="1" ht="15.6" spans="4:9">
      <c r="D198" s="138"/>
      <c r="I198" s="34"/>
    </row>
    <row r="199" s="36" customFormat="1" ht="15.6" spans="4:9">
      <c r="D199" s="138"/>
      <c r="I199" s="34"/>
    </row>
    <row r="200" s="36" customFormat="1" ht="15.6" spans="4:9">
      <c r="D200" s="138"/>
      <c r="I200" s="34"/>
    </row>
    <row r="201" s="36" customFormat="1" ht="15.6" spans="4:9">
      <c r="D201" s="138"/>
      <c r="I201" s="34"/>
    </row>
    <row r="202" s="36" customFormat="1" ht="15.6" spans="4:9">
      <c r="D202" s="138"/>
      <c r="I202" s="34"/>
    </row>
    <row r="203" s="36" customFormat="1" ht="15.6" spans="4:9">
      <c r="D203" s="138"/>
      <c r="I203" s="34"/>
    </row>
    <row r="204" s="36" customFormat="1" ht="15.6" spans="4:9">
      <c r="D204" s="138"/>
      <c r="I204" s="34"/>
    </row>
    <row r="205" s="36" customFormat="1" ht="15.6" spans="4:9">
      <c r="D205" s="138"/>
      <c r="I205" s="34"/>
    </row>
    <row r="206" s="36" customFormat="1" ht="15.6" spans="4:9">
      <c r="D206" s="138"/>
      <c r="I206" s="34"/>
    </row>
    <row r="207" s="36" customFormat="1" ht="15.6" spans="4:9">
      <c r="D207" s="138"/>
      <c r="I207" s="34"/>
    </row>
    <row r="208" s="36" customFormat="1" ht="15.6" spans="4:9">
      <c r="D208" s="138"/>
      <c r="I208" s="34"/>
    </row>
    <row r="209" s="36" customFormat="1" ht="15.6" spans="4:9">
      <c r="D209" s="138"/>
      <c r="I209" s="34"/>
    </row>
    <row r="210" s="36" customFormat="1" ht="15.6" spans="4:9">
      <c r="D210" s="138"/>
      <c r="I210" s="34"/>
    </row>
    <row r="211" s="36" customFormat="1" ht="15.6" spans="4:9">
      <c r="D211" s="138"/>
      <c r="I211" s="34"/>
    </row>
    <row r="212" s="36" customFormat="1" ht="15.6" spans="4:9">
      <c r="D212" s="138"/>
      <c r="I212" s="34"/>
    </row>
    <row r="213" s="36" customFormat="1" ht="15.6" spans="4:9">
      <c r="D213" s="138"/>
      <c r="I213" s="34"/>
    </row>
    <row r="214" s="36" customFormat="1" ht="15.6" spans="4:9">
      <c r="D214" s="138"/>
      <c r="I214" s="34"/>
    </row>
    <row r="215" s="36" customFormat="1" ht="15.6" spans="4:9">
      <c r="D215" s="138"/>
      <c r="I215" s="34"/>
    </row>
    <row r="216" s="36" customFormat="1" ht="15.6" spans="4:9">
      <c r="D216" s="138"/>
      <c r="I216" s="34"/>
    </row>
    <row r="217" s="36" customFormat="1" ht="15.6" spans="4:9">
      <c r="D217" s="138"/>
      <c r="I217" s="34"/>
    </row>
    <row r="218" s="36" customFormat="1" ht="15.6" spans="4:9">
      <c r="D218" s="138"/>
      <c r="I218" s="34"/>
    </row>
  </sheetData>
  <mergeCells count="14">
    <mergeCell ref="A2:O2"/>
    <mergeCell ref="B4:I4"/>
    <mergeCell ref="J4:O4"/>
    <mergeCell ref="H5:I5"/>
    <mergeCell ref="K5:M5"/>
    <mergeCell ref="N5:O5"/>
    <mergeCell ref="A4:A6"/>
    <mergeCell ref="B5:B6"/>
    <mergeCell ref="C5:C6"/>
    <mergeCell ref="D5:D6"/>
    <mergeCell ref="E5:E6"/>
    <mergeCell ref="F5:F6"/>
    <mergeCell ref="G5:G6"/>
    <mergeCell ref="J5:J6"/>
  </mergeCells>
  <pageMargins left="0.393055555555556" right="0.161111111111111" top="0.354166666666667" bottom="0.60625" header="0.432638888888889" footer="0.393055555555556"/>
  <pageSetup paperSize="9" scale="99" firstPageNumber="83" fitToHeight="0" orientation="landscape" useFirstPageNumber="1" horizontalDpi="600"/>
  <headerFooter>
    <oddFooter>&amp;C- &amp;P -</oddFooter>
  </headerFooter>
  <ignoredErrors>
    <ignoredError sqref="J35" formula="1" unlockedFormula="1"/>
    <ignoredError sqref="N35 N21 J25 K3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Zeros="0" workbookViewId="0">
      <pane ySplit="5" topLeftCell="A13" activePane="bottomLeft" state="frozen"/>
      <selection/>
      <selection pane="bottomLeft" activeCell="G17" sqref="G17"/>
    </sheetView>
  </sheetViews>
  <sheetFormatPr defaultColWidth="10" defaultRowHeight="15.6"/>
  <cols>
    <col min="1" max="1" width="12.2037037037037" style="36" customWidth="1"/>
    <col min="2" max="2" width="21.1296296296296" style="36" customWidth="1"/>
    <col min="3" max="3" width="14.8611111111111" style="37" customWidth="1"/>
    <col min="4" max="4" width="15.1296296296296" style="38" customWidth="1"/>
    <col min="5" max="5" width="13.6018518518519" style="38" customWidth="1"/>
    <col min="6" max="7" width="11.5277777777778" style="38" customWidth="1"/>
    <col min="8" max="8" width="32.9259259259259" style="39" customWidth="1"/>
    <col min="9" max="9" width="3.06481481481481" style="36" hidden="1" customWidth="1"/>
    <col min="10" max="16384" width="10" style="36"/>
  </cols>
  <sheetData>
    <row r="1" ht="24" customHeight="1" spans="1:1">
      <c r="A1" s="5" t="s">
        <v>1569</v>
      </c>
    </row>
    <row r="2" ht="33" customHeight="1" spans="1:9">
      <c r="A2" s="6" t="s">
        <v>1570</v>
      </c>
      <c r="B2" s="6"/>
      <c r="C2" s="40"/>
      <c r="D2" s="41"/>
      <c r="E2" s="41"/>
      <c r="F2" s="41"/>
      <c r="G2" s="41"/>
      <c r="H2" s="40"/>
      <c r="I2" s="83"/>
    </row>
    <row r="3" ht="24" customHeight="1" spans="8:9">
      <c r="H3" s="37" t="s">
        <v>2</v>
      </c>
      <c r="I3" s="36" t="s">
        <v>2</v>
      </c>
    </row>
    <row r="4" ht="29" customHeight="1" spans="1:9">
      <c r="A4" s="42" t="s">
        <v>278</v>
      </c>
      <c r="B4" s="43" t="s">
        <v>279</v>
      </c>
      <c r="C4" s="43" t="s">
        <v>1571</v>
      </c>
      <c r="D4" s="44" t="s">
        <v>122</v>
      </c>
      <c r="E4" s="45" t="s">
        <v>1509</v>
      </c>
      <c r="F4" s="45" t="s">
        <v>287</v>
      </c>
      <c r="G4" s="45" t="s">
        <v>288</v>
      </c>
      <c r="H4" s="43" t="s">
        <v>169</v>
      </c>
      <c r="I4" s="43" t="s">
        <v>169</v>
      </c>
    </row>
    <row r="5" ht="16.05" customHeight="1" spans="1:9">
      <c r="A5" s="42"/>
      <c r="B5" s="43"/>
      <c r="C5" s="43"/>
      <c r="D5" s="44"/>
      <c r="E5" s="46"/>
      <c r="F5" s="46"/>
      <c r="G5" s="46"/>
      <c r="H5" s="43"/>
      <c r="I5" s="43"/>
    </row>
    <row r="6" ht="25.05" customHeight="1" spans="1:9">
      <c r="A6" s="42"/>
      <c r="B6" s="47" t="s">
        <v>1572</v>
      </c>
      <c r="C6" s="48"/>
      <c r="D6" s="49">
        <f>SUM(D7,D11,D15,D27,D24)</f>
        <v>38477.46</v>
      </c>
      <c r="E6" s="49">
        <f>SUM(E7,E15,E27)</f>
        <v>25930</v>
      </c>
      <c r="F6" s="49">
        <f>SUM(F7,F15,F2,F11,F27)</f>
        <v>12332.08</v>
      </c>
      <c r="G6" s="49">
        <f>SUM(G7,G15,G27,G11,G24)</f>
        <v>215.38</v>
      </c>
      <c r="H6" s="43"/>
      <c r="I6" s="43"/>
    </row>
    <row r="7" s="33" customFormat="1" ht="33" customHeight="1" spans="1:9">
      <c r="A7" s="50">
        <v>207</v>
      </c>
      <c r="B7" s="51" t="s">
        <v>855</v>
      </c>
      <c r="C7" s="43"/>
      <c r="D7" s="49">
        <f t="shared" ref="D7:G7" si="0">D8</f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3"/>
      <c r="I7" s="43"/>
    </row>
    <row r="8" s="34" customFormat="1" ht="32" customHeight="1" spans="1:9">
      <c r="A8" s="52">
        <v>20707</v>
      </c>
      <c r="B8" s="53" t="s">
        <v>1573</v>
      </c>
      <c r="C8" s="54"/>
      <c r="D8" s="55">
        <f>SUM(D9:D10)</f>
        <v>0</v>
      </c>
      <c r="E8" s="55">
        <f>E9</f>
        <v>0</v>
      </c>
      <c r="F8" s="55">
        <f>F9</f>
        <v>0</v>
      </c>
      <c r="G8" s="55">
        <f>SUM(G9:G10)</f>
        <v>0</v>
      </c>
      <c r="H8" s="56"/>
      <c r="I8" s="56"/>
    </row>
    <row r="9" s="34" customFormat="1" ht="28.05" customHeight="1" spans="1:9">
      <c r="A9" s="57">
        <v>2070701</v>
      </c>
      <c r="B9" s="53" t="s">
        <v>1574</v>
      </c>
      <c r="C9" s="56" t="s">
        <v>1575</v>
      </c>
      <c r="D9" s="55">
        <f>SUM(E9:G9)</f>
        <v>0</v>
      </c>
      <c r="E9" s="55"/>
      <c r="F9" s="55"/>
      <c r="G9" s="55">
        <v>0</v>
      </c>
      <c r="H9" s="53" t="s">
        <v>1576</v>
      </c>
      <c r="I9" s="56"/>
    </row>
    <row r="10" s="34" customFormat="1" ht="29" customHeight="1" spans="1:9">
      <c r="A10" s="57">
        <v>2070799</v>
      </c>
      <c r="B10" s="58" t="s">
        <v>1577</v>
      </c>
      <c r="C10" s="56" t="s">
        <v>1575</v>
      </c>
      <c r="D10" s="55">
        <f>SUM(E10:G10)</f>
        <v>0</v>
      </c>
      <c r="E10" s="59"/>
      <c r="F10" s="59"/>
      <c r="G10" s="59">
        <v>0</v>
      </c>
      <c r="H10" s="53"/>
      <c r="I10" s="53" t="s">
        <v>1578</v>
      </c>
    </row>
    <row r="11" s="34" customFormat="1" ht="29" customHeight="1" spans="1:9">
      <c r="A11" s="60">
        <v>208</v>
      </c>
      <c r="B11" s="61" t="s">
        <v>920</v>
      </c>
      <c r="C11" s="56"/>
      <c r="D11" s="49">
        <f>D12</f>
        <v>51.32</v>
      </c>
      <c r="E11" s="62"/>
      <c r="F11" s="62">
        <f>F12</f>
        <v>0</v>
      </c>
      <c r="G11" s="62">
        <f>G12</f>
        <v>51.32</v>
      </c>
      <c r="H11" s="53"/>
      <c r="I11" s="53"/>
    </row>
    <row r="12" s="34" customFormat="1" ht="29" customHeight="1" spans="1:9">
      <c r="A12" s="52">
        <v>20822</v>
      </c>
      <c r="B12" s="53" t="s">
        <v>1579</v>
      </c>
      <c r="C12" s="56"/>
      <c r="D12" s="55">
        <f t="shared" ref="D12:D20" si="1">SUM(E12:G12)</f>
        <v>51.32</v>
      </c>
      <c r="E12" s="59"/>
      <c r="F12" s="59">
        <v>0</v>
      </c>
      <c r="G12" s="59">
        <f>G13+G14</f>
        <v>51.32</v>
      </c>
      <c r="H12" s="53" t="s">
        <v>1580</v>
      </c>
      <c r="I12" s="53"/>
    </row>
    <row r="13" s="34" customFormat="1" ht="29" customHeight="1" spans="1:9">
      <c r="A13" s="57">
        <v>2082201</v>
      </c>
      <c r="B13" s="53" t="s">
        <v>1580</v>
      </c>
      <c r="C13" s="56" t="s">
        <v>558</v>
      </c>
      <c r="D13" s="55">
        <f t="shared" si="1"/>
        <v>49.32</v>
      </c>
      <c r="E13" s="59"/>
      <c r="F13" s="59"/>
      <c r="G13" s="63">
        <v>49.32</v>
      </c>
      <c r="H13" s="53"/>
      <c r="I13" s="53"/>
    </row>
    <row r="14" s="34" customFormat="1" ht="29" customHeight="1" spans="1:9">
      <c r="A14" s="57">
        <v>2082202</v>
      </c>
      <c r="B14" s="53" t="s">
        <v>1581</v>
      </c>
      <c r="C14" s="56" t="s">
        <v>558</v>
      </c>
      <c r="D14" s="55">
        <f t="shared" si="1"/>
        <v>2</v>
      </c>
      <c r="E14" s="59"/>
      <c r="F14" s="59"/>
      <c r="G14" s="63">
        <v>2</v>
      </c>
      <c r="H14" s="53" t="s">
        <v>1582</v>
      </c>
      <c r="I14" s="53"/>
    </row>
    <row r="15" s="33" customFormat="1" ht="24" customHeight="1" spans="1:9">
      <c r="A15" s="60">
        <v>212</v>
      </c>
      <c r="B15" s="61" t="s">
        <v>1583</v>
      </c>
      <c r="C15" s="64"/>
      <c r="D15" s="49">
        <f t="shared" si="1"/>
        <v>38162</v>
      </c>
      <c r="E15" s="49">
        <f>SUM(E16,E20,E22)</f>
        <v>25850</v>
      </c>
      <c r="F15" s="49">
        <f t="shared" ref="E15:G15" si="2">SUM(F16,F20,F22)</f>
        <v>12312</v>
      </c>
      <c r="G15" s="49">
        <f t="shared" si="2"/>
        <v>0</v>
      </c>
      <c r="H15" s="65"/>
      <c r="I15" s="61"/>
    </row>
    <row r="16" s="34" customFormat="1" ht="33" customHeight="1" spans="1:9">
      <c r="A16" s="66">
        <v>21208</v>
      </c>
      <c r="B16" s="67" t="s">
        <v>1584</v>
      </c>
      <c r="C16" s="68"/>
      <c r="D16" s="55">
        <f t="shared" si="1"/>
        <v>37312</v>
      </c>
      <c r="E16" s="69">
        <f>SUM(E17:E19)</f>
        <v>25000</v>
      </c>
      <c r="F16" s="69">
        <f>SUM(F17:F19)</f>
        <v>12312</v>
      </c>
      <c r="G16" s="69">
        <f t="shared" ref="E16:G16" si="3">G17</f>
        <v>0</v>
      </c>
      <c r="H16" s="67"/>
      <c r="I16" s="71"/>
    </row>
    <row r="17" s="34" customFormat="1" ht="40" customHeight="1" spans="1:9">
      <c r="A17" s="70">
        <v>2120801</v>
      </c>
      <c r="B17" s="71" t="s">
        <v>1585</v>
      </c>
      <c r="C17" s="68" t="s">
        <v>1586</v>
      </c>
      <c r="D17" s="55">
        <f t="shared" si="1"/>
        <v>34712</v>
      </c>
      <c r="E17" s="72">
        <f>25000-2600</f>
        <v>22400</v>
      </c>
      <c r="F17" s="72">
        <v>12312</v>
      </c>
      <c r="G17" s="69">
        <v>0</v>
      </c>
      <c r="H17" s="67"/>
      <c r="I17" s="71" t="s">
        <v>1587</v>
      </c>
    </row>
    <row r="18" s="35" customFormat="1" ht="33" customHeight="1" spans="1:9">
      <c r="A18" s="70">
        <v>2120804</v>
      </c>
      <c r="B18" s="71" t="s">
        <v>1588</v>
      </c>
      <c r="C18" s="68" t="s">
        <v>557</v>
      </c>
      <c r="D18" s="55">
        <f t="shared" si="1"/>
        <v>2000</v>
      </c>
      <c r="E18" s="72">
        <v>2000</v>
      </c>
      <c r="F18" s="72"/>
      <c r="G18" s="69"/>
      <c r="H18" s="67"/>
      <c r="I18" s="71"/>
    </row>
    <row r="19" s="35" customFormat="1" ht="34" customHeight="1" spans="1:9">
      <c r="A19" s="70">
        <v>2120814</v>
      </c>
      <c r="B19" s="71" t="s">
        <v>1589</v>
      </c>
      <c r="C19" s="68" t="s">
        <v>557</v>
      </c>
      <c r="D19" s="55">
        <f t="shared" si="1"/>
        <v>600</v>
      </c>
      <c r="E19" s="72">
        <v>600</v>
      </c>
      <c r="F19" s="72"/>
      <c r="G19" s="69"/>
      <c r="H19" s="67"/>
      <c r="I19" s="71"/>
    </row>
    <row r="20" ht="31.05" customHeight="1" spans="1:9">
      <c r="A20" s="66">
        <v>21213</v>
      </c>
      <c r="B20" s="67" t="s">
        <v>1590</v>
      </c>
      <c r="C20" s="68"/>
      <c r="D20" s="55">
        <f t="shared" si="1"/>
        <v>300</v>
      </c>
      <c r="E20" s="69">
        <f t="shared" ref="E20:G20" si="4">E21</f>
        <v>300</v>
      </c>
      <c r="F20" s="69">
        <f t="shared" si="4"/>
        <v>0</v>
      </c>
      <c r="G20" s="69">
        <f t="shared" si="4"/>
        <v>0</v>
      </c>
      <c r="H20" s="73"/>
      <c r="I20" s="82"/>
    </row>
    <row r="21" ht="28.05" customHeight="1" spans="1:9">
      <c r="A21" s="70">
        <v>2121301</v>
      </c>
      <c r="B21" s="71" t="s">
        <v>1591</v>
      </c>
      <c r="C21" s="68" t="s">
        <v>1592</v>
      </c>
      <c r="D21" s="55">
        <f>SUM(E21:F21)</f>
        <v>300</v>
      </c>
      <c r="E21" s="72">
        <v>300</v>
      </c>
      <c r="F21" s="69"/>
      <c r="G21" s="69"/>
      <c r="H21" s="67" t="s">
        <v>1593</v>
      </c>
      <c r="I21" s="71" t="s">
        <v>1594</v>
      </c>
    </row>
    <row r="22" ht="23" customHeight="1" spans="1:9">
      <c r="A22" s="66">
        <v>21214</v>
      </c>
      <c r="B22" s="71" t="s">
        <v>1595</v>
      </c>
      <c r="C22" s="68"/>
      <c r="D22" s="55">
        <f>SUM(E22:G22)</f>
        <v>550</v>
      </c>
      <c r="E22" s="69">
        <f t="shared" ref="E22:G22" si="5">E23</f>
        <v>550</v>
      </c>
      <c r="F22" s="69">
        <f t="shared" si="5"/>
        <v>0</v>
      </c>
      <c r="G22" s="69">
        <f t="shared" si="5"/>
        <v>0</v>
      </c>
      <c r="H22" s="67"/>
      <c r="I22" s="71"/>
    </row>
    <row r="23" ht="32" customHeight="1" spans="1:9">
      <c r="A23" s="71">
        <v>2121401</v>
      </c>
      <c r="B23" s="67" t="s">
        <v>1596</v>
      </c>
      <c r="C23" s="68" t="s">
        <v>1597</v>
      </c>
      <c r="D23" s="55">
        <f>SUM(E23:G23)</f>
        <v>550</v>
      </c>
      <c r="E23" s="69">
        <v>550</v>
      </c>
      <c r="F23" s="69"/>
      <c r="G23" s="69"/>
      <c r="H23" s="67" t="s">
        <v>1598</v>
      </c>
      <c r="I23" s="71" t="s">
        <v>1599</v>
      </c>
    </row>
    <row r="24" ht="32" customHeight="1" spans="1:9">
      <c r="A24" s="60">
        <v>213</v>
      </c>
      <c r="B24" s="61" t="s">
        <v>1186</v>
      </c>
      <c r="C24" s="68"/>
      <c r="D24" s="49">
        <f>D25</f>
        <v>0</v>
      </c>
      <c r="E24" s="74"/>
      <c r="F24" s="74"/>
      <c r="G24" s="74">
        <f>G25</f>
        <v>0</v>
      </c>
      <c r="H24" s="67"/>
      <c r="I24" s="71"/>
    </row>
    <row r="25" ht="32" customHeight="1" spans="1:9">
      <c r="A25" s="66">
        <v>21366</v>
      </c>
      <c r="B25" s="67" t="s">
        <v>1600</v>
      </c>
      <c r="C25" s="68"/>
      <c r="D25" s="55">
        <f>D26</f>
        <v>0</v>
      </c>
      <c r="E25" s="69"/>
      <c r="F25" s="69"/>
      <c r="G25" s="69"/>
      <c r="H25" s="67"/>
      <c r="I25" s="71"/>
    </row>
    <row r="26" ht="32" customHeight="1" spans="1:9">
      <c r="A26" s="71">
        <v>2136601</v>
      </c>
      <c r="B26" s="67" t="s">
        <v>1581</v>
      </c>
      <c r="C26" s="56"/>
      <c r="D26" s="55">
        <f>E26+F26+G26</f>
        <v>0</v>
      </c>
      <c r="E26" s="69"/>
      <c r="F26" s="69"/>
      <c r="G26" s="69"/>
      <c r="H26" s="67"/>
      <c r="I26" s="71"/>
    </row>
    <row r="27" ht="26" customHeight="1" spans="1:9">
      <c r="A27" s="75">
        <v>229</v>
      </c>
      <c r="B27" s="76" t="s">
        <v>1459</v>
      </c>
      <c r="C27" s="77"/>
      <c r="D27" s="78">
        <f t="shared" ref="D27:G27" si="6">SUM(D28:D33)</f>
        <v>264.14</v>
      </c>
      <c r="E27" s="78">
        <f t="shared" si="6"/>
        <v>80</v>
      </c>
      <c r="F27" s="78">
        <f t="shared" si="6"/>
        <v>20.08</v>
      </c>
      <c r="G27" s="78">
        <f t="shared" si="6"/>
        <v>164.06</v>
      </c>
      <c r="H27" s="73"/>
      <c r="I27" s="82"/>
    </row>
    <row r="28" ht="34.05" customHeight="1" spans="1:9">
      <c r="A28" s="79">
        <v>2290401</v>
      </c>
      <c r="B28" s="73" t="s">
        <v>1601</v>
      </c>
      <c r="C28" s="77"/>
      <c r="D28" s="80">
        <f t="shared" ref="D28:D33" si="7">SUM(E28:G28)</f>
        <v>80</v>
      </c>
      <c r="E28" s="81">
        <v>80</v>
      </c>
      <c r="F28" s="80"/>
      <c r="G28" s="80"/>
      <c r="H28" s="67"/>
      <c r="I28" s="82"/>
    </row>
    <row r="29" ht="33" customHeight="1" spans="1:9">
      <c r="A29" s="79">
        <v>2296002</v>
      </c>
      <c r="B29" s="73" t="s">
        <v>1602</v>
      </c>
      <c r="C29" s="77"/>
      <c r="D29" s="80">
        <f t="shared" si="7"/>
        <v>16.26</v>
      </c>
      <c r="E29" s="80"/>
      <c r="F29" s="80">
        <v>3</v>
      </c>
      <c r="G29" s="72">
        <v>13.26</v>
      </c>
      <c r="H29" s="67" t="s">
        <v>1603</v>
      </c>
      <c r="I29" s="82" t="s">
        <v>1604</v>
      </c>
    </row>
    <row r="30" ht="33" customHeight="1" spans="1:9">
      <c r="A30" s="79">
        <v>2296003</v>
      </c>
      <c r="B30" s="73" t="s">
        <v>1605</v>
      </c>
      <c r="C30" s="77"/>
      <c r="D30" s="80">
        <f t="shared" si="7"/>
        <v>0</v>
      </c>
      <c r="E30" s="80"/>
      <c r="F30" s="80"/>
      <c r="G30" s="80"/>
      <c r="H30" s="67"/>
      <c r="I30" s="82"/>
    </row>
    <row r="31" ht="33" customHeight="1" spans="1:9">
      <c r="A31" s="79">
        <v>2296004</v>
      </c>
      <c r="B31" s="73" t="s">
        <v>1606</v>
      </c>
      <c r="C31" s="77"/>
      <c r="D31" s="80">
        <f t="shared" si="7"/>
        <v>17.08</v>
      </c>
      <c r="E31" s="80"/>
      <c r="F31" s="80">
        <v>17.08</v>
      </c>
      <c r="G31" s="80"/>
      <c r="H31" s="67"/>
      <c r="I31" s="82"/>
    </row>
    <row r="32" ht="76.05" customHeight="1" spans="1:9">
      <c r="A32" s="79">
        <v>2296006</v>
      </c>
      <c r="B32" s="73" t="s">
        <v>1607</v>
      </c>
      <c r="C32" s="77"/>
      <c r="D32" s="80">
        <f t="shared" si="7"/>
        <v>87.8</v>
      </c>
      <c r="E32" s="80"/>
      <c r="F32" s="80"/>
      <c r="G32" s="72">
        <v>87.8</v>
      </c>
      <c r="H32" s="67" t="s">
        <v>1608</v>
      </c>
      <c r="I32" s="82"/>
    </row>
    <row r="33" ht="33" customHeight="1" spans="1:9">
      <c r="A33" s="82">
        <v>2296013</v>
      </c>
      <c r="B33" s="73" t="s">
        <v>1609</v>
      </c>
      <c r="C33" s="77"/>
      <c r="D33" s="80">
        <f t="shared" si="7"/>
        <v>63</v>
      </c>
      <c r="E33" s="80"/>
      <c r="F33" s="80"/>
      <c r="G33" s="80">
        <v>63</v>
      </c>
      <c r="H33" s="67" t="s">
        <v>1610</v>
      </c>
      <c r="I33" s="82" t="s">
        <v>1611</v>
      </c>
    </row>
  </sheetData>
  <mergeCells count="11">
    <mergeCell ref="A2:H2"/>
    <mergeCell ref="B6:C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86805555555556" right="0.161111111111111" top="0.409027777777778" bottom="0.60625" header="0.5" footer="0.432638888888889"/>
  <pageSetup paperSize="9" firstPageNumber="86" orientation="landscape" useFirstPageNumber="1" horizontalDpi="600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showZeros="0" topLeftCell="A22" workbookViewId="0">
      <selection activeCell="A2" sqref="A2:M2"/>
    </sheetView>
  </sheetViews>
  <sheetFormatPr defaultColWidth="9" defaultRowHeight="13.2"/>
  <cols>
    <col min="1" max="1" width="37.8796296296296" style="1" customWidth="1"/>
    <col min="2" max="2" width="9.37962962962963" style="1" customWidth="1"/>
    <col min="3" max="3" width="9.62962962962963" style="1" customWidth="1"/>
    <col min="4" max="4" width="10.8796296296296" style="1" customWidth="1"/>
    <col min="5" max="5" width="10.75" style="1" customWidth="1"/>
    <col min="6" max="6" width="9.87962962962963" style="1" customWidth="1"/>
    <col min="7" max="8" width="9.62962962962963" style="1" hidden="1" customWidth="1"/>
    <col min="9" max="9" width="9.87962962962963" style="1" customWidth="1"/>
    <col min="10" max="10" width="12" style="1" customWidth="1"/>
    <col min="11" max="11" width="12.25" style="1" customWidth="1"/>
    <col min="12" max="13" width="10.8796296296296" style="1" customWidth="1"/>
    <col min="14" max="16384" width="9" style="1"/>
  </cols>
  <sheetData>
    <row r="1" ht="28" customHeight="1" spans="1:1">
      <c r="A1" s="5" t="s">
        <v>1612</v>
      </c>
    </row>
    <row r="2" s="1" customFormat="1" ht="35.25" customHeight="1" spans="1:13">
      <c r="A2" s="6" t="s">
        <v>1613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8" customHeight="1" spans="1:13">
      <c r="A3" s="7"/>
      <c r="B3" s="7"/>
      <c r="C3" s="7"/>
      <c r="D3" s="7"/>
      <c r="E3" s="7"/>
      <c r="F3" s="7"/>
      <c r="G3" s="7"/>
      <c r="H3" s="7"/>
      <c r="I3" s="7"/>
      <c r="J3" s="24"/>
      <c r="K3" s="1"/>
      <c r="L3" s="25" t="s">
        <v>2</v>
      </c>
      <c r="M3" s="1"/>
    </row>
    <row r="4" s="3" customFormat="1" ht="23.25" customHeight="1" spans="1:13">
      <c r="A4" s="8" t="s">
        <v>1614</v>
      </c>
      <c r="B4" s="9" t="s">
        <v>1615</v>
      </c>
      <c r="C4" s="10"/>
      <c r="D4" s="10"/>
      <c r="E4" s="10"/>
      <c r="F4" s="10"/>
      <c r="G4" s="10"/>
      <c r="H4" s="10"/>
      <c r="I4" s="10"/>
      <c r="J4" s="10"/>
      <c r="K4" s="26" t="s">
        <v>5</v>
      </c>
      <c r="L4" s="26"/>
      <c r="M4" s="26"/>
    </row>
    <row r="5" s="3" customFormat="1" ht="23.25" customHeight="1" spans="1:13">
      <c r="A5" s="11"/>
      <c r="B5" s="12" t="s">
        <v>114</v>
      </c>
      <c r="C5" s="12" t="s">
        <v>1616</v>
      </c>
      <c r="D5" s="12" t="s">
        <v>1617</v>
      </c>
      <c r="E5" s="13" t="s">
        <v>1505</v>
      </c>
      <c r="F5" s="13" t="s">
        <v>1618</v>
      </c>
      <c r="G5" s="12" t="s">
        <v>1619</v>
      </c>
      <c r="H5" s="12" t="s">
        <v>1474</v>
      </c>
      <c r="I5" s="26" t="s">
        <v>118</v>
      </c>
      <c r="J5" s="9"/>
      <c r="K5" s="12" t="s">
        <v>12</v>
      </c>
      <c r="L5" s="26" t="s">
        <v>1620</v>
      </c>
      <c r="M5" s="26"/>
    </row>
    <row r="6" s="3" customFormat="1" ht="23.25" customHeight="1" spans="1:13">
      <c r="A6" s="11"/>
      <c r="B6" s="14"/>
      <c r="C6" s="14"/>
      <c r="D6" s="14"/>
      <c r="E6" s="15"/>
      <c r="F6" s="15"/>
      <c r="G6" s="14"/>
      <c r="H6" s="14"/>
      <c r="I6" s="27" t="s">
        <v>14</v>
      </c>
      <c r="J6" s="28" t="s">
        <v>1476</v>
      </c>
      <c r="K6" s="14"/>
      <c r="L6" s="27" t="s">
        <v>14</v>
      </c>
      <c r="M6" s="28" t="s">
        <v>1476</v>
      </c>
    </row>
    <row r="7" s="1" customFormat="1" ht="23.25" customHeight="1" spans="1:13">
      <c r="A7" s="16" t="s">
        <v>1621</v>
      </c>
      <c r="B7" s="29">
        <f t="shared" ref="B7:H7" si="0">SUM(B14:B19)</f>
        <v>10257</v>
      </c>
      <c r="C7" s="29">
        <f t="shared" si="0"/>
        <v>10257</v>
      </c>
      <c r="D7" s="29">
        <f t="shared" si="0"/>
        <v>10388</v>
      </c>
      <c r="E7" s="30">
        <f t="shared" ref="E7:E23" si="1">D7/B7</f>
        <v>1.01277176562348</v>
      </c>
      <c r="F7" s="30">
        <f t="shared" ref="F7:F23" si="2">D7/C7</f>
        <v>1.01277176562348</v>
      </c>
      <c r="G7" s="31">
        <f t="shared" si="0"/>
        <v>0</v>
      </c>
      <c r="H7" s="31">
        <f t="shared" si="0"/>
        <v>10901</v>
      </c>
      <c r="I7" s="29">
        <f t="shared" ref="I7:I23" si="3">D7-H7</f>
        <v>-513</v>
      </c>
      <c r="J7" s="30">
        <f t="shared" ref="J7:J23" si="4">I7/H7</f>
        <v>-0.0470599027612146</v>
      </c>
      <c r="K7" s="29">
        <f>SUM(K14:K19)</f>
        <v>12052</v>
      </c>
      <c r="L7" s="29">
        <f t="shared" ref="L7:L23" si="5">K7-D7</f>
        <v>1664</v>
      </c>
      <c r="M7" s="30">
        <f t="shared" ref="M7:M23" si="6">L7/D7</f>
        <v>0.16018482864844</v>
      </c>
    </row>
    <row r="8" s="1" customFormat="1" ht="23.25" hidden="1" customHeight="1" spans="1:13">
      <c r="A8" s="16" t="s">
        <v>1622</v>
      </c>
      <c r="B8" s="29"/>
      <c r="C8" s="29"/>
      <c r="D8" s="29"/>
      <c r="E8" s="30" t="e">
        <f t="shared" si="1"/>
        <v>#DIV/0!</v>
      </c>
      <c r="F8" s="30" t="e">
        <f t="shared" si="2"/>
        <v>#DIV/0!</v>
      </c>
      <c r="G8" s="31"/>
      <c r="H8" s="31"/>
      <c r="I8" s="29">
        <f t="shared" si="3"/>
        <v>0</v>
      </c>
      <c r="J8" s="30" t="e">
        <f t="shared" si="4"/>
        <v>#DIV/0!</v>
      </c>
      <c r="K8" s="29"/>
      <c r="L8" s="29">
        <f t="shared" si="5"/>
        <v>0</v>
      </c>
      <c r="M8" s="30" t="e">
        <f t="shared" si="6"/>
        <v>#DIV/0!</v>
      </c>
    </row>
    <row r="9" s="1" customFormat="1" ht="23.25" hidden="1" customHeight="1" spans="1:13">
      <c r="A9" s="16" t="s">
        <v>1623</v>
      </c>
      <c r="B9" s="29"/>
      <c r="C9" s="29"/>
      <c r="D9" s="29"/>
      <c r="E9" s="30" t="e">
        <f t="shared" si="1"/>
        <v>#DIV/0!</v>
      </c>
      <c r="F9" s="30" t="e">
        <f t="shared" si="2"/>
        <v>#DIV/0!</v>
      </c>
      <c r="G9" s="31"/>
      <c r="H9" s="31"/>
      <c r="I9" s="29">
        <f t="shared" si="3"/>
        <v>0</v>
      </c>
      <c r="J9" s="30" t="e">
        <f t="shared" si="4"/>
        <v>#DIV/0!</v>
      </c>
      <c r="K9" s="29"/>
      <c r="L9" s="29">
        <f t="shared" si="5"/>
        <v>0</v>
      </c>
      <c r="M9" s="30" t="e">
        <f t="shared" si="6"/>
        <v>#DIV/0!</v>
      </c>
    </row>
    <row r="10" s="1" customFormat="1" ht="23.25" hidden="1" customHeight="1" spans="1:13">
      <c r="A10" s="16" t="s">
        <v>1624</v>
      </c>
      <c r="B10" s="29"/>
      <c r="C10" s="29"/>
      <c r="D10" s="29"/>
      <c r="E10" s="30" t="e">
        <f t="shared" si="1"/>
        <v>#DIV/0!</v>
      </c>
      <c r="F10" s="30" t="e">
        <f t="shared" si="2"/>
        <v>#DIV/0!</v>
      </c>
      <c r="G10" s="31"/>
      <c r="H10" s="31"/>
      <c r="I10" s="29">
        <f t="shared" si="3"/>
        <v>0</v>
      </c>
      <c r="J10" s="30" t="e">
        <f t="shared" si="4"/>
        <v>#DIV/0!</v>
      </c>
      <c r="K10" s="29"/>
      <c r="L10" s="29">
        <f t="shared" si="5"/>
        <v>0</v>
      </c>
      <c r="M10" s="30" t="e">
        <f t="shared" si="6"/>
        <v>#DIV/0!</v>
      </c>
    </row>
    <row r="11" s="1" customFormat="1" ht="23.25" hidden="1" customHeight="1" spans="1:13">
      <c r="A11" s="16" t="s">
        <v>1625</v>
      </c>
      <c r="B11" s="29"/>
      <c r="C11" s="29"/>
      <c r="D11" s="29"/>
      <c r="E11" s="30" t="e">
        <f t="shared" si="1"/>
        <v>#DIV/0!</v>
      </c>
      <c r="F11" s="30" t="e">
        <f t="shared" si="2"/>
        <v>#DIV/0!</v>
      </c>
      <c r="G11" s="31"/>
      <c r="H11" s="31"/>
      <c r="I11" s="29">
        <f t="shared" si="3"/>
        <v>0</v>
      </c>
      <c r="J11" s="30" t="e">
        <f t="shared" si="4"/>
        <v>#DIV/0!</v>
      </c>
      <c r="K11" s="29"/>
      <c r="L11" s="29">
        <f t="shared" si="5"/>
        <v>0</v>
      </c>
      <c r="M11" s="30" t="e">
        <f t="shared" si="6"/>
        <v>#DIV/0!</v>
      </c>
    </row>
    <row r="12" s="1" customFormat="1" ht="23.25" hidden="1" customHeight="1" spans="1:13">
      <c r="A12" s="16" t="s">
        <v>1626</v>
      </c>
      <c r="B12" s="29"/>
      <c r="C12" s="29"/>
      <c r="D12" s="29"/>
      <c r="E12" s="30" t="e">
        <f t="shared" si="1"/>
        <v>#DIV/0!</v>
      </c>
      <c r="F12" s="30" t="e">
        <f t="shared" si="2"/>
        <v>#DIV/0!</v>
      </c>
      <c r="G12" s="31"/>
      <c r="H12" s="31"/>
      <c r="I12" s="29">
        <f t="shared" si="3"/>
        <v>0</v>
      </c>
      <c r="J12" s="30" t="e">
        <f t="shared" si="4"/>
        <v>#DIV/0!</v>
      </c>
      <c r="K12" s="29"/>
      <c r="L12" s="29">
        <f t="shared" si="5"/>
        <v>0</v>
      </c>
      <c r="M12" s="30" t="e">
        <f t="shared" si="6"/>
        <v>#DIV/0!</v>
      </c>
    </row>
    <row r="13" s="1" customFormat="1" ht="23.25" hidden="1" customHeight="1" spans="1:13">
      <c r="A13" s="16" t="s">
        <v>1627</v>
      </c>
      <c r="B13" s="29"/>
      <c r="C13" s="29"/>
      <c r="D13" s="29"/>
      <c r="E13" s="30" t="e">
        <f t="shared" si="1"/>
        <v>#DIV/0!</v>
      </c>
      <c r="F13" s="30" t="e">
        <f t="shared" si="2"/>
        <v>#DIV/0!</v>
      </c>
      <c r="G13" s="31"/>
      <c r="H13" s="31"/>
      <c r="I13" s="29">
        <f t="shared" si="3"/>
        <v>0</v>
      </c>
      <c r="J13" s="30" t="e">
        <f t="shared" si="4"/>
        <v>#DIV/0!</v>
      </c>
      <c r="K13" s="29"/>
      <c r="L13" s="29">
        <f t="shared" si="5"/>
        <v>0</v>
      </c>
      <c r="M13" s="30" t="e">
        <f t="shared" si="6"/>
        <v>#DIV/0!</v>
      </c>
    </row>
    <row r="14" s="1" customFormat="1" ht="23.25" customHeight="1" spans="1:13">
      <c r="A14" s="16" t="s">
        <v>1622</v>
      </c>
      <c r="B14" s="29">
        <v>2432</v>
      </c>
      <c r="C14" s="29">
        <v>2432</v>
      </c>
      <c r="D14" s="29">
        <v>2537</v>
      </c>
      <c r="E14" s="30">
        <f t="shared" si="1"/>
        <v>1.04317434210526</v>
      </c>
      <c r="F14" s="30">
        <f t="shared" si="2"/>
        <v>1.04317434210526</v>
      </c>
      <c r="G14" s="31"/>
      <c r="H14" s="31">
        <v>2421</v>
      </c>
      <c r="I14" s="29">
        <f t="shared" si="3"/>
        <v>116</v>
      </c>
      <c r="J14" s="30">
        <f t="shared" si="4"/>
        <v>0.0479140850888063</v>
      </c>
      <c r="K14" s="29">
        <v>2658</v>
      </c>
      <c r="L14" s="29">
        <f t="shared" si="5"/>
        <v>121</v>
      </c>
      <c r="M14" s="30">
        <f t="shared" si="6"/>
        <v>0.0476941269215609</v>
      </c>
    </row>
    <row r="15" s="1" customFormat="1" ht="23.25" customHeight="1" spans="1:13">
      <c r="A15" s="16" t="s">
        <v>1623</v>
      </c>
      <c r="B15" s="29">
        <v>7452</v>
      </c>
      <c r="C15" s="29">
        <v>7452</v>
      </c>
      <c r="D15" s="29">
        <v>7092</v>
      </c>
      <c r="E15" s="30">
        <f t="shared" si="1"/>
        <v>0.951690821256039</v>
      </c>
      <c r="F15" s="30">
        <f t="shared" si="2"/>
        <v>0.951690821256039</v>
      </c>
      <c r="G15" s="31"/>
      <c r="H15" s="31">
        <v>7420</v>
      </c>
      <c r="I15" s="29">
        <f t="shared" si="3"/>
        <v>-328</v>
      </c>
      <c r="J15" s="30">
        <f t="shared" si="4"/>
        <v>-0.0442048517520216</v>
      </c>
      <c r="K15" s="29">
        <v>8211</v>
      </c>
      <c r="L15" s="29">
        <f t="shared" si="5"/>
        <v>1119</v>
      </c>
      <c r="M15" s="30">
        <f t="shared" si="6"/>
        <v>0.157783417935702</v>
      </c>
    </row>
    <row r="16" s="1" customFormat="1" ht="23.25" customHeight="1" spans="1:13">
      <c r="A16" s="16" t="s">
        <v>1624</v>
      </c>
      <c r="B16" s="29">
        <v>103</v>
      </c>
      <c r="C16" s="29">
        <v>103</v>
      </c>
      <c r="D16" s="29">
        <v>118</v>
      </c>
      <c r="E16" s="30">
        <f t="shared" si="1"/>
        <v>1.14563106796116</v>
      </c>
      <c r="F16" s="30">
        <f t="shared" si="2"/>
        <v>1.14563106796116</v>
      </c>
      <c r="G16" s="31"/>
      <c r="H16" s="31">
        <v>112</v>
      </c>
      <c r="I16" s="29">
        <f t="shared" si="3"/>
        <v>6</v>
      </c>
      <c r="J16" s="30">
        <f t="shared" si="4"/>
        <v>0.0535714285714286</v>
      </c>
      <c r="K16" s="29">
        <v>123</v>
      </c>
      <c r="L16" s="29">
        <f t="shared" si="5"/>
        <v>5</v>
      </c>
      <c r="M16" s="30">
        <f t="shared" si="6"/>
        <v>0.0423728813559322</v>
      </c>
    </row>
    <row r="17" s="1" customFormat="1" ht="23.25" customHeight="1" spans="1:13">
      <c r="A17" s="16" t="s">
        <v>1625</v>
      </c>
      <c r="B17" s="29">
        <v>265</v>
      </c>
      <c r="C17" s="29">
        <v>265</v>
      </c>
      <c r="D17" s="29">
        <v>589</v>
      </c>
      <c r="E17" s="30">
        <f t="shared" si="1"/>
        <v>2.22264150943396</v>
      </c>
      <c r="F17" s="30">
        <f t="shared" si="2"/>
        <v>2.22264150943396</v>
      </c>
      <c r="G17" s="31"/>
      <c r="H17" s="31">
        <v>936</v>
      </c>
      <c r="I17" s="29">
        <f t="shared" si="3"/>
        <v>-347</v>
      </c>
      <c r="J17" s="30">
        <f t="shared" si="4"/>
        <v>-0.370726495726496</v>
      </c>
      <c r="K17" s="29">
        <v>1058</v>
      </c>
      <c r="L17" s="29">
        <f t="shared" si="5"/>
        <v>469</v>
      </c>
      <c r="M17" s="30">
        <f t="shared" si="6"/>
        <v>0.796264855687606</v>
      </c>
    </row>
    <row r="18" s="1" customFormat="1" ht="23.25" customHeight="1" spans="1:13">
      <c r="A18" s="16" t="s">
        <v>1627</v>
      </c>
      <c r="B18" s="29">
        <v>0</v>
      </c>
      <c r="C18" s="29">
        <v>0</v>
      </c>
      <c r="D18" s="29">
        <v>50</v>
      </c>
      <c r="E18" s="30"/>
      <c r="F18" s="30"/>
      <c r="G18" s="31"/>
      <c r="H18" s="31">
        <v>10</v>
      </c>
      <c r="I18" s="29">
        <f t="shared" si="3"/>
        <v>40</v>
      </c>
      <c r="J18" s="30">
        <f t="shared" si="4"/>
        <v>4</v>
      </c>
      <c r="K18" s="29">
        <v>2</v>
      </c>
      <c r="L18" s="29">
        <f t="shared" si="5"/>
        <v>-48</v>
      </c>
      <c r="M18" s="30">
        <f t="shared" si="6"/>
        <v>-0.96</v>
      </c>
    </row>
    <row r="19" s="1" customFormat="1" ht="23.25" customHeight="1" spans="1:13">
      <c r="A19" s="16" t="s">
        <v>1628</v>
      </c>
      <c r="B19" s="29">
        <v>5</v>
      </c>
      <c r="C19" s="29">
        <v>5</v>
      </c>
      <c r="D19" s="29">
        <v>2</v>
      </c>
      <c r="E19" s="30">
        <f t="shared" si="1"/>
        <v>0.4</v>
      </c>
      <c r="F19" s="30">
        <f t="shared" si="2"/>
        <v>0.4</v>
      </c>
      <c r="G19" s="31"/>
      <c r="H19" s="31">
        <v>2</v>
      </c>
      <c r="I19" s="29">
        <f t="shared" si="3"/>
        <v>0</v>
      </c>
      <c r="J19" s="30">
        <f t="shared" si="4"/>
        <v>0</v>
      </c>
      <c r="K19" s="29"/>
      <c r="L19" s="29">
        <f t="shared" si="5"/>
        <v>-2</v>
      </c>
      <c r="M19" s="30">
        <f t="shared" si="6"/>
        <v>-1</v>
      </c>
    </row>
    <row r="20" s="1" customFormat="1" ht="23.25" customHeight="1" spans="1:13">
      <c r="A20" s="16" t="s">
        <v>1629</v>
      </c>
      <c r="B20" s="29">
        <f t="shared" ref="B20:H20" si="7">SUM(B21:B25)</f>
        <v>21159</v>
      </c>
      <c r="C20" s="29">
        <f t="shared" si="7"/>
        <v>21159</v>
      </c>
      <c r="D20" s="29">
        <f t="shared" si="7"/>
        <v>21683</v>
      </c>
      <c r="E20" s="30">
        <f t="shared" si="1"/>
        <v>1.0247648754667</v>
      </c>
      <c r="F20" s="30">
        <f t="shared" si="2"/>
        <v>1.0247648754667</v>
      </c>
      <c r="G20" s="31">
        <f t="shared" si="7"/>
        <v>0</v>
      </c>
      <c r="H20" s="31">
        <f t="shared" si="7"/>
        <v>19023</v>
      </c>
      <c r="I20" s="29">
        <f t="shared" si="3"/>
        <v>2660</v>
      </c>
      <c r="J20" s="30">
        <f t="shared" si="4"/>
        <v>0.139830731220102</v>
      </c>
      <c r="K20" s="29">
        <f>SUM(K21:K25)</f>
        <v>22684</v>
      </c>
      <c r="L20" s="29">
        <f t="shared" si="5"/>
        <v>1001</v>
      </c>
      <c r="M20" s="30">
        <f t="shared" si="6"/>
        <v>0.0461651985426371</v>
      </c>
    </row>
    <row r="21" s="1" customFormat="1" ht="23.25" customHeight="1" spans="1:13">
      <c r="A21" s="16" t="s">
        <v>1630</v>
      </c>
      <c r="B21" s="29">
        <v>14770</v>
      </c>
      <c r="C21" s="29">
        <v>14770</v>
      </c>
      <c r="D21" s="29">
        <v>15316</v>
      </c>
      <c r="E21" s="30">
        <f t="shared" si="1"/>
        <v>1.03696682464455</v>
      </c>
      <c r="F21" s="30">
        <f t="shared" si="2"/>
        <v>1.03696682464455</v>
      </c>
      <c r="G21" s="31"/>
      <c r="H21" s="31">
        <v>13506</v>
      </c>
      <c r="I21" s="29">
        <f t="shared" si="3"/>
        <v>1810</v>
      </c>
      <c r="J21" s="30">
        <f t="shared" si="4"/>
        <v>0.13401451206871</v>
      </c>
      <c r="K21" s="29">
        <v>17404</v>
      </c>
      <c r="L21" s="29">
        <f t="shared" si="5"/>
        <v>2088</v>
      </c>
      <c r="M21" s="30">
        <f t="shared" si="6"/>
        <v>0.136328022982502</v>
      </c>
    </row>
    <row r="22" s="1" customFormat="1" ht="23.25" customHeight="1" spans="1:13">
      <c r="A22" s="16" t="s">
        <v>1623</v>
      </c>
      <c r="B22" s="29">
        <v>6327</v>
      </c>
      <c r="C22" s="29">
        <v>6327</v>
      </c>
      <c r="D22" s="29">
        <v>6246</v>
      </c>
      <c r="E22" s="30">
        <f t="shared" si="1"/>
        <v>0.987197724039829</v>
      </c>
      <c r="F22" s="30">
        <f t="shared" si="2"/>
        <v>0.987197724039829</v>
      </c>
      <c r="G22" s="31"/>
      <c r="H22" s="31">
        <v>5301</v>
      </c>
      <c r="I22" s="29">
        <f t="shared" si="3"/>
        <v>945</v>
      </c>
      <c r="J22" s="30">
        <f t="shared" si="4"/>
        <v>0.178268251273345</v>
      </c>
      <c r="K22" s="29">
        <v>5141</v>
      </c>
      <c r="L22" s="29">
        <f t="shared" si="5"/>
        <v>-1105</v>
      </c>
      <c r="M22" s="30">
        <f t="shared" si="6"/>
        <v>-0.176913224463657</v>
      </c>
    </row>
    <row r="23" s="1" customFormat="1" ht="23.25" customHeight="1" spans="1:13">
      <c r="A23" s="16" t="s">
        <v>1624</v>
      </c>
      <c r="B23" s="29">
        <v>5</v>
      </c>
      <c r="C23" s="29">
        <v>5</v>
      </c>
      <c r="D23" s="29">
        <v>8</v>
      </c>
      <c r="E23" s="30">
        <f t="shared" si="1"/>
        <v>1.6</v>
      </c>
      <c r="F23" s="30">
        <f t="shared" si="2"/>
        <v>1.6</v>
      </c>
      <c r="G23" s="31"/>
      <c r="H23" s="31">
        <v>8</v>
      </c>
      <c r="I23" s="29">
        <f t="shared" si="3"/>
        <v>0</v>
      </c>
      <c r="J23" s="30">
        <f t="shared" si="4"/>
        <v>0</v>
      </c>
      <c r="K23" s="29">
        <v>3</v>
      </c>
      <c r="L23" s="29">
        <f t="shared" si="5"/>
        <v>-5</v>
      </c>
      <c r="M23" s="30">
        <f t="shared" si="6"/>
        <v>-0.625</v>
      </c>
    </row>
    <row r="24" s="1" customFormat="1" ht="23.25" customHeight="1" spans="1:13">
      <c r="A24" s="16" t="s">
        <v>1625</v>
      </c>
      <c r="B24" s="29"/>
      <c r="C24" s="29"/>
      <c r="D24" s="29"/>
      <c r="E24" s="30"/>
      <c r="F24" s="30"/>
      <c r="G24" s="31"/>
      <c r="H24" s="31"/>
      <c r="I24" s="29"/>
      <c r="J24" s="30"/>
      <c r="K24" s="29"/>
      <c r="L24" s="29"/>
      <c r="M24" s="30"/>
    </row>
    <row r="25" s="1" customFormat="1" ht="23.25" customHeight="1" spans="1:13">
      <c r="A25" s="16" t="s">
        <v>1628</v>
      </c>
      <c r="B25" s="29">
        <v>57</v>
      </c>
      <c r="C25" s="29">
        <v>57</v>
      </c>
      <c r="D25" s="29">
        <v>113</v>
      </c>
      <c r="E25" s="30">
        <f t="shared" ref="E25:E31" si="8">D25/B25</f>
        <v>1.98245614035088</v>
      </c>
      <c r="F25" s="30">
        <f t="shared" ref="F25:F31" si="9">D25/C25</f>
        <v>1.98245614035088</v>
      </c>
      <c r="G25" s="31"/>
      <c r="H25" s="31">
        <v>208</v>
      </c>
      <c r="I25" s="29">
        <f t="shared" ref="I25:I30" si="10">D25-H25</f>
        <v>-95</v>
      </c>
      <c r="J25" s="30">
        <f t="shared" ref="J25:J31" si="11">I25/H25</f>
        <v>-0.456730769230769</v>
      </c>
      <c r="K25" s="29">
        <v>136</v>
      </c>
      <c r="L25" s="29">
        <f t="shared" ref="L25:L30" si="12">K25-D25</f>
        <v>23</v>
      </c>
      <c r="M25" s="30">
        <f t="shared" ref="M25:M31" si="13">L25/D25</f>
        <v>0.20353982300885</v>
      </c>
    </row>
    <row r="26" s="1" customFormat="1" ht="24" customHeight="1" spans="1:13">
      <c r="A26" s="20" t="s">
        <v>1631</v>
      </c>
      <c r="B26" s="21">
        <f t="shared" ref="B26:H26" si="14">B7+B20</f>
        <v>31416</v>
      </c>
      <c r="C26" s="21">
        <f t="shared" si="14"/>
        <v>31416</v>
      </c>
      <c r="D26" s="21">
        <f t="shared" si="14"/>
        <v>32071</v>
      </c>
      <c r="E26" s="30">
        <f t="shared" si="8"/>
        <v>1.02084924879043</v>
      </c>
      <c r="F26" s="30">
        <f t="shared" si="9"/>
        <v>1.02084924879043</v>
      </c>
      <c r="G26" s="32">
        <f t="shared" si="14"/>
        <v>0</v>
      </c>
      <c r="H26" s="32">
        <f t="shared" si="14"/>
        <v>29924</v>
      </c>
      <c r="I26" s="29">
        <f t="shared" si="10"/>
        <v>2147</v>
      </c>
      <c r="J26" s="30">
        <f t="shared" si="11"/>
        <v>0.0717484293543644</v>
      </c>
      <c r="K26" s="21">
        <f>K7+K20</f>
        <v>34736</v>
      </c>
      <c r="L26" s="29">
        <f t="shared" si="12"/>
        <v>2665</v>
      </c>
      <c r="M26" s="30">
        <f t="shared" si="13"/>
        <v>0.0830968788001621</v>
      </c>
    </row>
    <row r="27" s="1" customFormat="1" ht="23.25" customHeight="1" spans="1:13">
      <c r="A27" s="20" t="s">
        <v>1494</v>
      </c>
      <c r="B27" s="21">
        <f t="shared" ref="B27:I27" si="15">SUM(B28)</f>
        <v>18602</v>
      </c>
      <c r="C27" s="21">
        <f t="shared" si="15"/>
        <v>18602</v>
      </c>
      <c r="D27" s="21">
        <f t="shared" si="15"/>
        <v>19510</v>
      </c>
      <c r="E27" s="30">
        <f t="shared" si="8"/>
        <v>1.04881195570369</v>
      </c>
      <c r="F27" s="30">
        <f t="shared" si="9"/>
        <v>1.04881195570369</v>
      </c>
      <c r="G27" s="32">
        <f t="shared" si="15"/>
        <v>0</v>
      </c>
      <c r="H27" s="32">
        <f t="shared" si="15"/>
        <v>16175</v>
      </c>
      <c r="I27" s="21">
        <f t="shared" si="15"/>
        <v>3335</v>
      </c>
      <c r="J27" s="30">
        <f t="shared" si="11"/>
        <v>0.206182380216383</v>
      </c>
      <c r="K27" s="21">
        <f>SUM(K28)</f>
        <v>22250</v>
      </c>
      <c r="L27" s="21">
        <f>SUM(L28)</f>
        <v>2740</v>
      </c>
      <c r="M27" s="30">
        <f t="shared" si="13"/>
        <v>0.140440799589954</v>
      </c>
    </row>
    <row r="28" s="1" customFormat="1" ht="23.25" customHeight="1" spans="1:13">
      <c r="A28" s="23" t="s">
        <v>1498</v>
      </c>
      <c r="B28" s="29">
        <f t="shared" ref="B28:I28" si="16">SUM(B29:B30)</f>
        <v>18602</v>
      </c>
      <c r="C28" s="29">
        <f t="shared" si="16"/>
        <v>18602</v>
      </c>
      <c r="D28" s="29">
        <f t="shared" si="16"/>
        <v>19510</v>
      </c>
      <c r="E28" s="30">
        <f t="shared" si="8"/>
        <v>1.04881195570369</v>
      </c>
      <c r="F28" s="30">
        <f t="shared" si="9"/>
        <v>1.04881195570369</v>
      </c>
      <c r="G28" s="31">
        <f t="shared" si="16"/>
        <v>0</v>
      </c>
      <c r="H28" s="31">
        <f t="shared" si="16"/>
        <v>16175</v>
      </c>
      <c r="I28" s="29">
        <f t="shared" si="16"/>
        <v>3335</v>
      </c>
      <c r="J28" s="30">
        <f t="shared" si="11"/>
        <v>0.206182380216383</v>
      </c>
      <c r="K28" s="29">
        <f>SUM(K29:K30)</f>
        <v>22250</v>
      </c>
      <c r="L28" s="29">
        <f>SUM(L29:L30)</f>
        <v>2740</v>
      </c>
      <c r="M28" s="30">
        <f t="shared" si="13"/>
        <v>0.140440799589954</v>
      </c>
    </row>
    <row r="29" s="1" customFormat="1" ht="23.25" customHeight="1" spans="1:13">
      <c r="A29" s="16" t="s">
        <v>1632</v>
      </c>
      <c r="B29" s="29">
        <v>18466</v>
      </c>
      <c r="C29" s="29">
        <v>18466</v>
      </c>
      <c r="D29" s="21">
        <v>19279</v>
      </c>
      <c r="E29" s="30">
        <f t="shared" si="8"/>
        <v>1.04402686017546</v>
      </c>
      <c r="F29" s="30">
        <f t="shared" si="9"/>
        <v>1.04402686017546</v>
      </c>
      <c r="G29" s="31"/>
      <c r="H29" s="31">
        <v>15174</v>
      </c>
      <c r="I29" s="29">
        <f t="shared" si="10"/>
        <v>4105</v>
      </c>
      <c r="J29" s="30">
        <f t="shared" si="11"/>
        <v>0.270528535653091</v>
      </c>
      <c r="K29" s="29">
        <v>22249</v>
      </c>
      <c r="L29" s="29">
        <f t="shared" si="12"/>
        <v>2970</v>
      </c>
      <c r="M29" s="30">
        <f t="shared" si="13"/>
        <v>0.154053633487214</v>
      </c>
    </row>
    <row r="30" s="1" customFormat="1" ht="31" customHeight="1" spans="1:13">
      <c r="A30" s="16" t="s">
        <v>1633</v>
      </c>
      <c r="B30" s="29">
        <v>136</v>
      </c>
      <c r="C30" s="29">
        <v>136</v>
      </c>
      <c r="D30" s="21">
        <v>231</v>
      </c>
      <c r="E30" s="30">
        <f t="shared" si="8"/>
        <v>1.69852941176471</v>
      </c>
      <c r="F30" s="30">
        <f t="shared" si="9"/>
        <v>1.69852941176471</v>
      </c>
      <c r="G30" s="31"/>
      <c r="H30" s="31">
        <v>1001</v>
      </c>
      <c r="I30" s="29">
        <f t="shared" si="10"/>
        <v>-770</v>
      </c>
      <c r="J30" s="30">
        <f t="shared" si="11"/>
        <v>-0.769230769230769</v>
      </c>
      <c r="K30" s="29">
        <v>1</v>
      </c>
      <c r="L30" s="29">
        <f t="shared" si="12"/>
        <v>-230</v>
      </c>
      <c r="M30" s="30">
        <f t="shared" si="13"/>
        <v>-0.995670995670996</v>
      </c>
    </row>
    <row r="31" s="1" customFormat="1" ht="23.25" customHeight="1" spans="1:13">
      <c r="A31" s="20" t="s">
        <v>111</v>
      </c>
      <c r="B31" s="21">
        <f t="shared" ref="B31:I31" si="17">SUM(B26:B27)</f>
        <v>50018</v>
      </c>
      <c r="C31" s="21">
        <f t="shared" si="17"/>
        <v>50018</v>
      </c>
      <c r="D31" s="21">
        <f t="shared" si="17"/>
        <v>51581</v>
      </c>
      <c r="E31" s="30">
        <f t="shared" si="8"/>
        <v>1.03124875044984</v>
      </c>
      <c r="F31" s="30">
        <f t="shared" si="9"/>
        <v>1.03124875044984</v>
      </c>
      <c r="G31" s="32">
        <f t="shared" si="17"/>
        <v>0</v>
      </c>
      <c r="H31" s="32">
        <f t="shared" si="17"/>
        <v>46099</v>
      </c>
      <c r="I31" s="21">
        <f t="shared" si="17"/>
        <v>5482</v>
      </c>
      <c r="J31" s="30">
        <f t="shared" si="11"/>
        <v>0.118917980867264</v>
      </c>
      <c r="K31" s="21">
        <f>SUM(K26:K27)</f>
        <v>56986</v>
      </c>
      <c r="L31" s="21">
        <f>SUM(L26:L27)</f>
        <v>5405</v>
      </c>
      <c r="M31" s="30">
        <f t="shared" si="13"/>
        <v>0.104786646245711</v>
      </c>
    </row>
    <row r="33" s="1" customFormat="1" spans="2:2">
      <c r="B33" s="1">
        <f>B20+B30-'[1]本级社保支出 (草表)'!B16</f>
        <v>0</v>
      </c>
    </row>
    <row r="35" s="1" customFormat="1" spans="2:2">
      <c r="B35" s="1">
        <f>B20+B30-'[1]本级社保支出 (草表)'!B16</f>
        <v>0</v>
      </c>
    </row>
    <row r="44" s="1" customFormat="1" spans="7:7">
      <c r="G44" s="1" t="s">
        <v>1634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409027777777778" bottom="0.60625" header="0.5" footer="0.393055555555556"/>
  <pageSetup paperSize="9" firstPageNumber="89" orientation="landscape" useFirstPageNumber="1" horizontalDpi="600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Zeros="0" topLeftCell="A2" workbookViewId="0">
      <selection activeCell="K17" sqref="K17"/>
    </sheetView>
  </sheetViews>
  <sheetFormatPr defaultColWidth="9" defaultRowHeight="13.2"/>
  <cols>
    <col min="1" max="1" width="37.8796296296296" style="1" customWidth="1"/>
    <col min="2" max="2" width="10.25" style="1" customWidth="1"/>
    <col min="3" max="3" width="9.75" style="1" customWidth="1"/>
    <col min="4" max="5" width="11.3796296296296" style="1" customWidth="1"/>
    <col min="6" max="6" width="11.75" style="1" customWidth="1"/>
    <col min="7" max="8" width="9.62962962962963" style="1" hidden="1" customWidth="1"/>
    <col min="9" max="9" width="10.5" style="1" customWidth="1"/>
    <col min="10" max="10" width="9.25" style="1" customWidth="1"/>
    <col min="11" max="12" width="10.1296296296296" style="1" customWidth="1"/>
    <col min="13" max="13" width="10.25" style="1" customWidth="1"/>
    <col min="14" max="16384" width="9" style="1"/>
  </cols>
  <sheetData>
    <row r="1" ht="20" customHeight="1" spans="1:1">
      <c r="A1" s="5" t="s">
        <v>1635</v>
      </c>
    </row>
    <row r="2" s="1" customFormat="1" ht="35" customHeight="1" spans="1:13">
      <c r="A2" s="6" t="s">
        <v>1636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18" customHeight="1" spans="1:13">
      <c r="A3" s="7"/>
      <c r="B3" s="7"/>
      <c r="C3" s="7"/>
      <c r="D3" s="7"/>
      <c r="E3" s="7"/>
      <c r="F3" s="7"/>
      <c r="G3" s="7"/>
      <c r="H3" s="7"/>
      <c r="I3" s="7"/>
      <c r="J3" s="24"/>
      <c r="K3" s="1"/>
      <c r="L3" s="25" t="s">
        <v>2</v>
      </c>
      <c r="M3" s="1"/>
    </row>
    <row r="4" s="3" customFormat="1" ht="25.5" customHeight="1" spans="1:13">
      <c r="A4" s="8" t="s">
        <v>1614</v>
      </c>
      <c r="B4" s="9" t="s">
        <v>1615</v>
      </c>
      <c r="C4" s="10"/>
      <c r="D4" s="10"/>
      <c r="E4" s="10"/>
      <c r="F4" s="10"/>
      <c r="G4" s="10"/>
      <c r="H4" s="10"/>
      <c r="I4" s="10"/>
      <c r="J4" s="10"/>
      <c r="K4" s="26" t="s">
        <v>5</v>
      </c>
      <c r="L4" s="26"/>
      <c r="M4" s="26"/>
    </row>
    <row r="5" s="3" customFormat="1" ht="30" customHeight="1" spans="1:13">
      <c r="A5" s="11"/>
      <c r="B5" s="12" t="s">
        <v>114</v>
      </c>
      <c r="C5" s="12" t="s">
        <v>1616</v>
      </c>
      <c r="D5" s="12" t="s">
        <v>1617</v>
      </c>
      <c r="E5" s="13" t="s">
        <v>1505</v>
      </c>
      <c r="F5" s="13" t="s">
        <v>1618</v>
      </c>
      <c r="G5" s="12" t="s">
        <v>1619</v>
      </c>
      <c r="H5" s="12" t="s">
        <v>1474</v>
      </c>
      <c r="I5" s="26" t="s">
        <v>118</v>
      </c>
      <c r="J5" s="9"/>
      <c r="K5" s="12" t="s">
        <v>12</v>
      </c>
      <c r="L5" s="26" t="s">
        <v>1620</v>
      </c>
      <c r="M5" s="26"/>
    </row>
    <row r="6" s="3" customFormat="1" ht="25.5" customHeight="1" spans="1:13">
      <c r="A6" s="11"/>
      <c r="B6" s="14"/>
      <c r="C6" s="14"/>
      <c r="D6" s="14"/>
      <c r="E6" s="15"/>
      <c r="F6" s="15"/>
      <c r="G6" s="14"/>
      <c r="H6" s="14"/>
      <c r="I6" s="27" t="s">
        <v>14</v>
      </c>
      <c r="J6" s="28" t="s">
        <v>1476</v>
      </c>
      <c r="K6" s="14"/>
      <c r="L6" s="27" t="s">
        <v>14</v>
      </c>
      <c r="M6" s="28" t="s">
        <v>1476</v>
      </c>
    </row>
    <row r="7" s="4" customFormat="1" ht="25.5" customHeight="1" spans="1:13">
      <c r="A7" s="16" t="s">
        <v>1637</v>
      </c>
      <c r="B7" s="17">
        <f t="shared" ref="B7:H7" si="0">SUM(B12:B16)</f>
        <v>7190</v>
      </c>
      <c r="C7" s="17">
        <f t="shared" si="0"/>
        <v>7190</v>
      </c>
      <c r="D7" s="17">
        <f t="shared" si="0"/>
        <v>7418</v>
      </c>
      <c r="E7" s="18">
        <f t="shared" ref="E7:E25" si="1">D7/B7</f>
        <v>1.0317107093185</v>
      </c>
      <c r="F7" s="18">
        <f t="shared" ref="F7:F25" si="2">D7/C7</f>
        <v>1.0317107093185</v>
      </c>
      <c r="G7" s="19">
        <f t="shared" si="0"/>
        <v>0</v>
      </c>
      <c r="H7" s="19">
        <f t="shared" si="0"/>
        <v>6797</v>
      </c>
      <c r="I7" s="17">
        <f t="shared" ref="I7:I20" si="3">D7-H7</f>
        <v>621</v>
      </c>
      <c r="J7" s="18">
        <f t="shared" ref="J7:J25" si="4">I7/H7</f>
        <v>0.091363836986906</v>
      </c>
      <c r="K7" s="17">
        <f>SUM(K12:K16)</f>
        <v>8096</v>
      </c>
      <c r="L7" s="17">
        <f t="shared" ref="L7:L20" si="5">K7-D7</f>
        <v>678</v>
      </c>
      <c r="M7" s="18">
        <f t="shared" ref="M7:M25" si="6">L7/D7</f>
        <v>0.0913992990024265</v>
      </c>
    </row>
    <row r="8" s="1" customFormat="1" ht="25.5" hidden="1" customHeight="1" spans="1:13">
      <c r="A8" s="16" t="s">
        <v>1638</v>
      </c>
      <c r="B8" s="17"/>
      <c r="C8" s="17"/>
      <c r="D8" s="17"/>
      <c r="E8" s="18" t="e">
        <f t="shared" si="1"/>
        <v>#DIV/0!</v>
      </c>
      <c r="F8" s="18" t="e">
        <f t="shared" si="2"/>
        <v>#DIV/0!</v>
      </c>
      <c r="G8" s="19"/>
      <c r="H8" s="19"/>
      <c r="I8" s="17">
        <f t="shared" si="3"/>
        <v>0</v>
      </c>
      <c r="J8" s="18" t="e">
        <f t="shared" si="4"/>
        <v>#DIV/0!</v>
      </c>
      <c r="K8" s="17"/>
      <c r="L8" s="17">
        <f t="shared" si="5"/>
        <v>0</v>
      </c>
      <c r="M8" s="18" t="e">
        <f t="shared" si="6"/>
        <v>#DIV/0!</v>
      </c>
    </row>
    <row r="9" s="1" customFormat="1" ht="25.5" hidden="1" customHeight="1" spans="1:13">
      <c r="A9" s="16" t="s">
        <v>1639</v>
      </c>
      <c r="B9" s="17"/>
      <c r="C9" s="17"/>
      <c r="D9" s="17"/>
      <c r="E9" s="18" t="e">
        <f t="shared" si="1"/>
        <v>#DIV/0!</v>
      </c>
      <c r="F9" s="18" t="e">
        <f t="shared" si="2"/>
        <v>#DIV/0!</v>
      </c>
      <c r="G9" s="19"/>
      <c r="H9" s="19"/>
      <c r="I9" s="17">
        <f t="shared" si="3"/>
        <v>0</v>
      </c>
      <c r="J9" s="18" t="e">
        <f t="shared" si="4"/>
        <v>#DIV/0!</v>
      </c>
      <c r="K9" s="17"/>
      <c r="L9" s="17">
        <f t="shared" si="5"/>
        <v>0</v>
      </c>
      <c r="M9" s="18" t="e">
        <f t="shared" si="6"/>
        <v>#DIV/0!</v>
      </c>
    </row>
    <row r="10" s="1" customFormat="1" ht="25.5" hidden="1" customHeight="1" spans="1:13">
      <c r="A10" s="16" t="s">
        <v>1640</v>
      </c>
      <c r="B10" s="17"/>
      <c r="C10" s="17"/>
      <c r="D10" s="17"/>
      <c r="E10" s="18" t="e">
        <f t="shared" si="1"/>
        <v>#DIV/0!</v>
      </c>
      <c r="F10" s="18" t="e">
        <f t="shared" si="2"/>
        <v>#DIV/0!</v>
      </c>
      <c r="G10" s="19"/>
      <c r="H10" s="19"/>
      <c r="I10" s="17">
        <f t="shared" si="3"/>
        <v>0</v>
      </c>
      <c r="J10" s="18" t="e">
        <f t="shared" si="4"/>
        <v>#DIV/0!</v>
      </c>
      <c r="K10" s="17"/>
      <c r="L10" s="17">
        <f t="shared" si="5"/>
        <v>0</v>
      </c>
      <c r="M10" s="18" t="e">
        <f t="shared" si="6"/>
        <v>#DIV/0!</v>
      </c>
    </row>
    <row r="11" s="1" customFormat="1" ht="25.5" hidden="1" customHeight="1" spans="1:13">
      <c r="A11" s="16" t="s">
        <v>1641</v>
      </c>
      <c r="B11" s="17"/>
      <c r="C11" s="17"/>
      <c r="D11" s="17"/>
      <c r="E11" s="18" t="e">
        <f t="shared" si="1"/>
        <v>#DIV/0!</v>
      </c>
      <c r="F11" s="18" t="e">
        <f t="shared" si="2"/>
        <v>#DIV/0!</v>
      </c>
      <c r="G11" s="19"/>
      <c r="H11" s="19"/>
      <c r="I11" s="17">
        <f t="shared" si="3"/>
        <v>0</v>
      </c>
      <c r="J11" s="18" t="e">
        <f t="shared" si="4"/>
        <v>#DIV/0!</v>
      </c>
      <c r="K11" s="17"/>
      <c r="L11" s="17">
        <f t="shared" si="5"/>
        <v>0</v>
      </c>
      <c r="M11" s="18" t="e">
        <f t="shared" si="6"/>
        <v>#DIV/0!</v>
      </c>
    </row>
    <row r="12" s="1" customFormat="1" ht="25.5" customHeight="1" spans="1:13">
      <c r="A12" s="16" t="s">
        <v>1642</v>
      </c>
      <c r="B12" s="17">
        <v>6904</v>
      </c>
      <c r="C12" s="17">
        <v>6904</v>
      </c>
      <c r="D12" s="17">
        <v>6897</v>
      </c>
      <c r="E12" s="18">
        <f t="shared" si="1"/>
        <v>0.998986095017381</v>
      </c>
      <c r="F12" s="18">
        <f t="shared" si="2"/>
        <v>0.998986095017381</v>
      </c>
      <c r="G12" s="19"/>
      <c r="H12" s="19">
        <v>6547</v>
      </c>
      <c r="I12" s="17">
        <f t="shared" si="3"/>
        <v>350</v>
      </c>
      <c r="J12" s="18">
        <f t="shared" si="4"/>
        <v>0.0534595998167099</v>
      </c>
      <c r="K12" s="17">
        <v>7637</v>
      </c>
      <c r="L12" s="17">
        <f t="shared" si="5"/>
        <v>740</v>
      </c>
      <c r="M12" s="18">
        <f t="shared" si="6"/>
        <v>0.107293025953313</v>
      </c>
    </row>
    <row r="13" s="1" customFormat="1" ht="25.5" customHeight="1" spans="1:13">
      <c r="A13" s="16" t="s">
        <v>1643</v>
      </c>
      <c r="B13" s="17">
        <v>208</v>
      </c>
      <c r="C13" s="17">
        <v>208</v>
      </c>
      <c r="D13" s="17">
        <v>320</v>
      </c>
      <c r="E13" s="18">
        <f t="shared" si="1"/>
        <v>1.53846153846154</v>
      </c>
      <c r="F13" s="18">
        <f t="shared" si="2"/>
        <v>1.53846153846154</v>
      </c>
      <c r="G13" s="19"/>
      <c r="H13" s="19">
        <v>206</v>
      </c>
      <c r="I13" s="17">
        <f t="shared" si="3"/>
        <v>114</v>
      </c>
      <c r="J13" s="18">
        <f t="shared" si="4"/>
        <v>0.553398058252427</v>
      </c>
      <c r="K13" s="17">
        <v>345</v>
      </c>
      <c r="L13" s="17">
        <f t="shared" si="5"/>
        <v>25</v>
      </c>
      <c r="M13" s="18">
        <f t="shared" si="6"/>
        <v>0.078125</v>
      </c>
    </row>
    <row r="14" s="1" customFormat="1" ht="25.5" customHeight="1" spans="1:13">
      <c r="A14" s="16" t="s">
        <v>1644</v>
      </c>
      <c r="B14" s="17">
        <v>75</v>
      </c>
      <c r="C14" s="17">
        <v>75</v>
      </c>
      <c r="D14" s="17">
        <v>195</v>
      </c>
      <c r="E14" s="18">
        <f t="shared" si="1"/>
        <v>2.6</v>
      </c>
      <c r="F14" s="18">
        <f t="shared" si="2"/>
        <v>2.6</v>
      </c>
      <c r="G14" s="19"/>
      <c r="H14" s="19">
        <v>41</v>
      </c>
      <c r="I14" s="17">
        <f t="shared" si="3"/>
        <v>154</v>
      </c>
      <c r="J14" s="18">
        <f t="shared" si="4"/>
        <v>3.75609756097561</v>
      </c>
      <c r="K14" s="17">
        <v>108</v>
      </c>
      <c r="L14" s="17">
        <f t="shared" si="5"/>
        <v>-87</v>
      </c>
      <c r="M14" s="18">
        <f t="shared" si="6"/>
        <v>-0.446153846153846</v>
      </c>
    </row>
    <row r="15" s="1" customFormat="1" ht="25.5" customHeight="1" spans="1:13">
      <c r="A15" s="16" t="s">
        <v>1645</v>
      </c>
      <c r="B15" s="17"/>
      <c r="C15" s="17"/>
      <c r="D15" s="17">
        <v>1</v>
      </c>
      <c r="E15" s="18"/>
      <c r="F15" s="18"/>
      <c r="G15" s="19"/>
      <c r="H15" s="19"/>
      <c r="I15" s="17">
        <f t="shared" si="3"/>
        <v>1</v>
      </c>
      <c r="J15" s="18"/>
      <c r="K15" s="17"/>
      <c r="L15" s="17">
        <f t="shared" si="5"/>
        <v>-1</v>
      </c>
      <c r="M15" s="18">
        <f t="shared" si="6"/>
        <v>-1</v>
      </c>
    </row>
    <row r="16" s="1" customFormat="1" ht="25.5" customHeight="1" spans="1:13">
      <c r="A16" s="16" t="s">
        <v>1646</v>
      </c>
      <c r="B16" s="17">
        <v>3</v>
      </c>
      <c r="C16" s="17">
        <v>3</v>
      </c>
      <c r="D16" s="17">
        <v>5</v>
      </c>
      <c r="E16" s="18">
        <f t="shared" si="1"/>
        <v>1.66666666666667</v>
      </c>
      <c r="F16" s="18">
        <f t="shared" si="2"/>
        <v>1.66666666666667</v>
      </c>
      <c r="G16" s="19"/>
      <c r="H16" s="19">
        <v>3</v>
      </c>
      <c r="I16" s="17">
        <f t="shared" si="3"/>
        <v>2</v>
      </c>
      <c r="J16" s="18">
        <f t="shared" si="4"/>
        <v>0.666666666666667</v>
      </c>
      <c r="K16" s="17">
        <v>6</v>
      </c>
      <c r="L16" s="17">
        <f t="shared" si="5"/>
        <v>1</v>
      </c>
      <c r="M16" s="18">
        <f t="shared" si="6"/>
        <v>0.2</v>
      </c>
    </row>
    <row r="17" s="1" customFormat="1" ht="25.5" customHeight="1" spans="1:13">
      <c r="A17" s="16" t="s">
        <v>1647</v>
      </c>
      <c r="B17" s="17">
        <f t="shared" ref="B17:H17" si="7">B18+B19</f>
        <v>21295</v>
      </c>
      <c r="C17" s="17">
        <f t="shared" si="7"/>
        <v>21295</v>
      </c>
      <c r="D17" s="17">
        <f t="shared" si="7"/>
        <v>21913</v>
      </c>
      <c r="E17" s="18">
        <f t="shared" si="1"/>
        <v>1.02902089692416</v>
      </c>
      <c r="F17" s="18">
        <f t="shared" si="2"/>
        <v>1.02902089692416</v>
      </c>
      <c r="G17" s="19">
        <f t="shared" si="7"/>
        <v>0</v>
      </c>
      <c r="H17" s="19">
        <f t="shared" si="7"/>
        <v>19793</v>
      </c>
      <c r="I17" s="17">
        <f t="shared" si="3"/>
        <v>2120</v>
      </c>
      <c r="J17" s="18">
        <f t="shared" si="4"/>
        <v>0.10710857373819</v>
      </c>
      <c r="K17" s="17">
        <f>K18+K19</f>
        <v>22677</v>
      </c>
      <c r="L17" s="17">
        <f t="shared" si="5"/>
        <v>764</v>
      </c>
      <c r="M17" s="18">
        <f t="shared" si="6"/>
        <v>0.0348651485419614</v>
      </c>
    </row>
    <row r="18" s="1" customFormat="1" ht="25.5" customHeight="1" spans="1:13">
      <c r="A18" s="16" t="s">
        <v>1648</v>
      </c>
      <c r="B18" s="17">
        <v>21293</v>
      </c>
      <c r="C18" s="17">
        <v>21293</v>
      </c>
      <c r="D18" s="17">
        <v>21775</v>
      </c>
      <c r="E18" s="18">
        <f t="shared" si="1"/>
        <v>1.02263654722209</v>
      </c>
      <c r="F18" s="18">
        <f t="shared" si="2"/>
        <v>1.02263654722209</v>
      </c>
      <c r="G18" s="19"/>
      <c r="H18" s="19">
        <v>19758</v>
      </c>
      <c r="I18" s="17">
        <f t="shared" si="3"/>
        <v>2017</v>
      </c>
      <c r="J18" s="18">
        <f t="shared" si="4"/>
        <v>0.102085231298714</v>
      </c>
      <c r="K18" s="17">
        <v>22499</v>
      </c>
      <c r="L18" s="17">
        <f t="shared" si="5"/>
        <v>724</v>
      </c>
      <c r="M18" s="18">
        <f t="shared" si="6"/>
        <v>0.0332491389207807</v>
      </c>
    </row>
    <row r="19" s="1" customFormat="1" ht="25.5" customHeight="1" spans="1:13">
      <c r="A19" s="16" t="s">
        <v>1646</v>
      </c>
      <c r="B19" s="17">
        <v>2</v>
      </c>
      <c r="C19" s="17">
        <v>2</v>
      </c>
      <c r="D19" s="17">
        <v>138</v>
      </c>
      <c r="E19" s="18">
        <f t="shared" si="1"/>
        <v>69</v>
      </c>
      <c r="F19" s="18">
        <f t="shared" si="2"/>
        <v>69</v>
      </c>
      <c r="G19" s="19"/>
      <c r="H19" s="19">
        <v>35</v>
      </c>
      <c r="I19" s="17">
        <f t="shared" si="3"/>
        <v>103</v>
      </c>
      <c r="J19" s="18">
        <f t="shared" si="4"/>
        <v>2.94285714285714</v>
      </c>
      <c r="K19" s="17">
        <v>178</v>
      </c>
      <c r="L19" s="17">
        <f t="shared" si="5"/>
        <v>40</v>
      </c>
      <c r="M19" s="18">
        <f t="shared" si="6"/>
        <v>0.289855072463768</v>
      </c>
    </row>
    <row r="20" s="1" customFormat="1" ht="25.5" customHeight="1" spans="1:13">
      <c r="A20" s="20" t="s">
        <v>1649</v>
      </c>
      <c r="B20" s="21">
        <f t="shared" ref="B20:H20" si="8">B7+B17</f>
        <v>28485</v>
      </c>
      <c r="C20" s="21">
        <f t="shared" si="8"/>
        <v>28485</v>
      </c>
      <c r="D20" s="21">
        <f t="shared" si="8"/>
        <v>29331</v>
      </c>
      <c r="E20" s="18">
        <f t="shared" si="1"/>
        <v>1.02969984202212</v>
      </c>
      <c r="F20" s="18">
        <f t="shared" si="2"/>
        <v>1.02969984202212</v>
      </c>
      <c r="G20" s="22">
        <f t="shared" si="8"/>
        <v>0</v>
      </c>
      <c r="H20" s="22">
        <f t="shared" si="8"/>
        <v>26590</v>
      </c>
      <c r="I20" s="17">
        <f t="shared" si="3"/>
        <v>2741</v>
      </c>
      <c r="J20" s="18">
        <f t="shared" si="4"/>
        <v>0.103083866115081</v>
      </c>
      <c r="K20" s="21">
        <f>K7+K17</f>
        <v>30773</v>
      </c>
      <c r="L20" s="17">
        <f t="shared" si="5"/>
        <v>1442</v>
      </c>
      <c r="M20" s="18">
        <f t="shared" si="6"/>
        <v>0.0491630016024002</v>
      </c>
    </row>
    <row r="21" s="1" customFormat="1" ht="25.5" customHeight="1" spans="1:13">
      <c r="A21" s="20" t="s">
        <v>153</v>
      </c>
      <c r="B21" s="21">
        <f t="shared" ref="B21:I21" si="9">B22</f>
        <v>21533</v>
      </c>
      <c r="C21" s="21">
        <f t="shared" si="9"/>
        <v>21533</v>
      </c>
      <c r="D21" s="21">
        <f t="shared" si="9"/>
        <v>22250</v>
      </c>
      <c r="E21" s="18">
        <f t="shared" si="1"/>
        <v>1.03329772906701</v>
      </c>
      <c r="F21" s="18">
        <f t="shared" si="2"/>
        <v>1.03329772906701</v>
      </c>
      <c r="G21" s="22">
        <f t="shared" si="9"/>
        <v>0</v>
      </c>
      <c r="H21" s="22">
        <f t="shared" si="9"/>
        <v>19509</v>
      </c>
      <c r="I21" s="21">
        <f t="shared" si="9"/>
        <v>2741</v>
      </c>
      <c r="J21" s="18">
        <f t="shared" si="4"/>
        <v>0.140499256753293</v>
      </c>
      <c r="K21" s="21">
        <f>K22</f>
        <v>26213</v>
      </c>
      <c r="L21" s="21">
        <f>L22</f>
        <v>3963</v>
      </c>
      <c r="M21" s="18">
        <f t="shared" si="6"/>
        <v>0.178112359550562</v>
      </c>
    </row>
    <row r="22" s="1" customFormat="1" ht="25.5" customHeight="1" spans="1:13">
      <c r="A22" s="23" t="s">
        <v>1560</v>
      </c>
      <c r="B22" s="21">
        <f t="shared" ref="B22:I22" si="10">B23+B24</f>
        <v>21533</v>
      </c>
      <c r="C22" s="21">
        <f t="shared" si="10"/>
        <v>21533</v>
      </c>
      <c r="D22" s="21">
        <f t="shared" si="10"/>
        <v>22250</v>
      </c>
      <c r="E22" s="18">
        <f t="shared" si="1"/>
        <v>1.03329772906701</v>
      </c>
      <c r="F22" s="18">
        <f t="shared" si="2"/>
        <v>1.03329772906701</v>
      </c>
      <c r="G22" s="22">
        <f t="shared" si="10"/>
        <v>0</v>
      </c>
      <c r="H22" s="22">
        <f t="shared" si="10"/>
        <v>19509</v>
      </c>
      <c r="I22" s="21">
        <f t="shared" si="10"/>
        <v>2741</v>
      </c>
      <c r="J22" s="18">
        <f t="shared" si="4"/>
        <v>0.140499256753293</v>
      </c>
      <c r="K22" s="21">
        <f>K23+K24</f>
        <v>26213</v>
      </c>
      <c r="L22" s="21">
        <f>L23+L24</f>
        <v>3963</v>
      </c>
      <c r="M22" s="18">
        <f t="shared" si="6"/>
        <v>0.178112359550562</v>
      </c>
    </row>
    <row r="23" s="1" customFormat="1" ht="25.5" customHeight="1" spans="1:13">
      <c r="A23" s="16" t="s">
        <v>1632</v>
      </c>
      <c r="B23" s="21">
        <v>21533</v>
      </c>
      <c r="C23" s="21">
        <v>21533</v>
      </c>
      <c r="D23" s="21">
        <v>22249</v>
      </c>
      <c r="E23" s="18">
        <f t="shared" si="1"/>
        <v>1.03325128871964</v>
      </c>
      <c r="F23" s="18">
        <f t="shared" si="2"/>
        <v>1.03325128871964</v>
      </c>
      <c r="G23" s="22"/>
      <c r="H23" s="22">
        <v>19278</v>
      </c>
      <c r="I23" s="17">
        <f>D23-H23</f>
        <v>2971</v>
      </c>
      <c r="J23" s="18">
        <f t="shared" si="4"/>
        <v>0.154113497250752</v>
      </c>
      <c r="K23" s="21">
        <v>26205</v>
      </c>
      <c r="L23" s="17">
        <f>K23-D23</f>
        <v>3956</v>
      </c>
      <c r="M23" s="18">
        <f t="shared" si="6"/>
        <v>0.177805744078386</v>
      </c>
    </row>
    <row r="24" s="1" customFormat="1" ht="25.5" customHeight="1" spans="1:13">
      <c r="A24" s="16" t="s">
        <v>1633</v>
      </c>
      <c r="B24" s="21">
        <v>0</v>
      </c>
      <c r="C24" s="21">
        <v>0</v>
      </c>
      <c r="D24" s="21">
        <v>1</v>
      </c>
      <c r="E24" s="18"/>
      <c r="F24" s="18"/>
      <c r="G24" s="22"/>
      <c r="H24" s="22">
        <v>231</v>
      </c>
      <c r="I24" s="17">
        <f>D24-H24</f>
        <v>-230</v>
      </c>
      <c r="J24" s="18">
        <f t="shared" si="4"/>
        <v>-0.995670995670996</v>
      </c>
      <c r="K24" s="21">
        <v>8</v>
      </c>
      <c r="L24" s="17">
        <f>K24-D24</f>
        <v>7</v>
      </c>
      <c r="M24" s="18">
        <f t="shared" si="6"/>
        <v>7</v>
      </c>
    </row>
    <row r="25" s="1" customFormat="1" ht="25.5" customHeight="1" spans="1:13">
      <c r="A25" s="20" t="s">
        <v>162</v>
      </c>
      <c r="B25" s="21">
        <f t="shared" ref="B25:I25" si="11">B20+B21</f>
        <v>50018</v>
      </c>
      <c r="C25" s="21">
        <f t="shared" si="11"/>
        <v>50018</v>
      </c>
      <c r="D25" s="21">
        <f t="shared" si="11"/>
        <v>51581</v>
      </c>
      <c r="E25" s="18">
        <f t="shared" si="1"/>
        <v>1.03124875044984</v>
      </c>
      <c r="F25" s="18">
        <f t="shared" si="2"/>
        <v>1.03124875044984</v>
      </c>
      <c r="G25" s="22">
        <f t="shared" si="11"/>
        <v>0</v>
      </c>
      <c r="H25" s="22">
        <f t="shared" si="11"/>
        <v>46099</v>
      </c>
      <c r="I25" s="21">
        <f t="shared" si="11"/>
        <v>5482</v>
      </c>
      <c r="J25" s="18">
        <f t="shared" si="4"/>
        <v>0.118917980867264</v>
      </c>
      <c r="K25" s="21">
        <f>K20+K21</f>
        <v>56986</v>
      </c>
      <c r="L25" s="21">
        <f>L20+L21</f>
        <v>5405</v>
      </c>
      <c r="M25" s="18">
        <f t="shared" si="6"/>
        <v>0.104786646245711</v>
      </c>
    </row>
  </sheetData>
  <mergeCells count="14">
    <mergeCell ref="A2:M2"/>
    <mergeCell ref="B4:J4"/>
    <mergeCell ref="K4:M4"/>
    <mergeCell ref="I5:J5"/>
    <mergeCell ref="L5:M5"/>
    <mergeCell ref="A4:A6"/>
    <mergeCell ref="B5:B6"/>
    <mergeCell ref="C5:C6"/>
    <mergeCell ref="D5:D6"/>
    <mergeCell ref="E5:E6"/>
    <mergeCell ref="F5:F6"/>
    <mergeCell ref="G5:G6"/>
    <mergeCell ref="H5:H6"/>
    <mergeCell ref="K5:K6"/>
  </mergeCells>
  <pageMargins left="0.161111111111111" right="0.161111111111111" top="0.2125" bottom="0.409027777777778" header="0.5" footer="0.5"/>
  <pageSetup paperSize="9" firstPageNumber="91" orientation="landscape" useFirstPageNumber="1" horizontalDpi="600"/>
  <headerFooter>
    <oddFooter>&amp;C-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I67" rgbClr="40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一般公共预算收入</vt:lpstr>
      <vt:lpstr>一般公共预算支出</vt:lpstr>
      <vt:lpstr>收入明细表</vt:lpstr>
      <vt:lpstr>支出明细表</vt:lpstr>
      <vt:lpstr>政府性基金收入</vt:lpstr>
      <vt:lpstr>政府性基金支出</vt:lpstr>
      <vt:lpstr>政府性基金支出明细</vt:lpstr>
      <vt:lpstr>社保基金收入</vt:lpstr>
      <vt:lpstr>社保基金支出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2020-12-15T03:26:00Z</dcterms:created>
  <dcterms:modified xsi:type="dcterms:W3CDTF">2022-01-29T08:59:25Z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F4FE5E5D711241B390D6B0C961D25EB5</vt:lpwstr>
  </property>
</Properties>
</file>